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Chili Cloud\Zolas Møller\Hjemmesiden\2024\"/>
    </mc:Choice>
  </mc:AlternateContent>
  <bookViews>
    <workbookView xWindow="0" yWindow="0" windowWidth="24000" windowHeight="11025" tabRatio="651" activeTab="3"/>
  </bookViews>
  <sheets>
    <sheet name="Kalkulasjon" sheetId="1" r:id="rId1"/>
    <sheet name="Kraftpakke" sheetId="3" r:id="rId2"/>
    <sheet name="Gasskjele" sheetId="6" r:id="rId3"/>
    <sheet name="Prisliste messer" sheetId="8" r:id="rId4"/>
    <sheet name="Fakturaspec." sheetId="9" r:id="rId5"/>
    <sheet name="Eksempel" sheetId="13" r:id="rId6"/>
    <sheet name="Overvåkning" sheetId="11" r:id="rId7"/>
  </sheets>
  <definedNames>
    <definedName name="_xlnm._FilterDatabase" localSheetId="0" hidden="1">Kalkulasjon!$A$8:$U$61</definedName>
  </definedNames>
  <calcPr calcId="152511"/>
</workbook>
</file>

<file path=xl/calcChain.xml><?xml version="1.0" encoding="utf-8"?>
<calcChain xmlns="http://schemas.openxmlformats.org/spreadsheetml/2006/main">
  <c r="C43" i="8" l="1"/>
  <c r="C42" i="8"/>
  <c r="E5" i="8" l="1"/>
  <c r="E6" i="8"/>
  <c r="E7" i="8"/>
  <c r="E4" i="8"/>
  <c r="E101" i="8"/>
  <c r="C56" i="8"/>
  <c r="C57" i="8"/>
  <c r="C55" i="8"/>
  <c r="C49" i="8"/>
  <c r="C50" i="8"/>
  <c r="C48" i="8"/>
  <c r="C38" i="8"/>
  <c r="C39" i="8"/>
  <c r="C40" i="8"/>
  <c r="C41" i="8"/>
  <c r="C37" i="8"/>
  <c r="C31" i="8"/>
  <c r="C32" i="8"/>
  <c r="C33" i="8"/>
  <c r="C34" i="8"/>
  <c r="C30" i="8"/>
  <c r="E30" i="8" s="1"/>
  <c r="E21" i="8"/>
  <c r="E22" i="8"/>
  <c r="E23" i="8"/>
  <c r="E24" i="8"/>
  <c r="E25" i="8"/>
  <c r="E26" i="8"/>
  <c r="E27" i="8"/>
  <c r="E17" i="8"/>
  <c r="E18" i="8"/>
  <c r="E19" i="8"/>
  <c r="E20" i="8"/>
  <c r="E39" i="8" l="1"/>
  <c r="E40" i="8"/>
  <c r="E41" i="8"/>
  <c r="E42" i="8"/>
  <c r="E43" i="8"/>
  <c r="E38" i="8"/>
  <c r="E37" i="8"/>
  <c r="E47" i="8"/>
  <c r="E46" i="8"/>
  <c r="E54" i="8"/>
  <c r="C54" i="8"/>
  <c r="A54" i="8"/>
  <c r="E52" i="1"/>
  <c r="J52" i="1"/>
  <c r="L52" i="1" s="1"/>
  <c r="M52" i="1" l="1"/>
  <c r="A17" i="8"/>
  <c r="Q52" i="1" l="1"/>
  <c r="N52" i="1"/>
  <c r="O52" i="1" s="1"/>
  <c r="P52" i="1" s="1"/>
  <c r="A50" i="8"/>
  <c r="A49" i="8"/>
  <c r="A48" i="8"/>
  <c r="A92" i="8"/>
  <c r="S52" i="1" l="1"/>
  <c r="U52" i="1" s="1"/>
  <c r="A57" i="8"/>
  <c r="A56" i="8"/>
  <c r="A55" i="8"/>
  <c r="A53" i="8"/>
  <c r="T52" i="1" l="1"/>
  <c r="A47" i="8"/>
  <c r="A46" i="8"/>
  <c r="A10" i="8"/>
  <c r="A14" i="8"/>
  <c r="A13" i="8"/>
  <c r="A12" i="8"/>
  <c r="A7" i="8"/>
  <c r="A86" i="8" l="1"/>
  <c r="A84" i="8"/>
  <c r="A82" i="8"/>
  <c r="A63" i="8"/>
  <c r="A104" i="8"/>
  <c r="A103" i="8"/>
  <c r="A102" i="8" l="1"/>
  <c r="A101" i="8"/>
  <c r="A97" i="8"/>
  <c r="A96" i="8"/>
  <c r="A95" i="8"/>
  <c r="A94" i="8"/>
  <c r="A93" i="8"/>
  <c r="A91" i="8"/>
  <c r="A87" i="8"/>
  <c r="A85" i="8"/>
  <c r="A83" i="8"/>
  <c r="A81" i="8"/>
  <c r="A77" i="8"/>
  <c r="A76" i="8"/>
  <c r="A75" i="8"/>
  <c r="A74" i="8"/>
  <c r="A73" i="8"/>
  <c r="A72" i="8"/>
  <c r="A71" i="8"/>
  <c r="A41" i="8" l="1"/>
  <c r="A67" i="8" l="1"/>
  <c r="A66" i="8"/>
  <c r="A65" i="8"/>
  <c r="A64" i="8"/>
  <c r="A26" i="8"/>
  <c r="A27" i="8"/>
  <c r="A21" i="8"/>
  <c r="A22" i="8"/>
  <c r="A23" i="8"/>
  <c r="A24" i="8"/>
  <c r="A25" i="8"/>
  <c r="A20" i="8"/>
  <c r="A19" i="8"/>
  <c r="A6" i="8"/>
  <c r="A5" i="8"/>
  <c r="J59" i="1" l="1"/>
  <c r="L59" i="1" s="1"/>
  <c r="M59" i="1" s="1"/>
  <c r="J22" i="1"/>
  <c r="L22" i="1" s="1"/>
  <c r="H10" i="1"/>
  <c r="N59" i="1" l="1"/>
  <c r="O59" i="1" s="1"/>
  <c r="Q59" i="1"/>
  <c r="M22" i="1"/>
  <c r="J61" i="1"/>
  <c r="L61" i="1" s="1"/>
  <c r="M61" i="1" s="1"/>
  <c r="J60" i="1"/>
  <c r="L60" i="1" s="1"/>
  <c r="M60" i="1" s="1"/>
  <c r="E59" i="1" l="1"/>
  <c r="P59" i="1"/>
  <c r="N22" i="1"/>
  <c r="O22" i="1" s="1"/>
  <c r="Q22" i="1"/>
  <c r="N60" i="1"/>
  <c r="O60" i="1" s="1"/>
  <c r="P60" i="1" s="1"/>
  <c r="Q60" i="1"/>
  <c r="Q61" i="1"/>
  <c r="N61" i="1"/>
  <c r="O61" i="1" s="1"/>
  <c r="P61" i="1" s="1"/>
  <c r="S59" i="1" l="1"/>
  <c r="T59" i="1" s="1"/>
  <c r="E22" i="1"/>
  <c r="P22" i="1"/>
  <c r="S61" i="1"/>
  <c r="T61" i="1" s="1"/>
  <c r="S60" i="1"/>
  <c r="T60" i="1" s="1"/>
  <c r="C25" i="8" l="1"/>
  <c r="C63" i="8"/>
  <c r="U59" i="1"/>
  <c r="U60" i="1"/>
  <c r="S22" i="1"/>
  <c r="T22" i="1" s="1"/>
  <c r="U61" i="1"/>
  <c r="U22" i="1" l="1"/>
  <c r="E60" i="1"/>
  <c r="E61" i="1"/>
  <c r="G15" i="1"/>
  <c r="H15" i="1" s="1"/>
  <c r="G14" i="1"/>
  <c r="H14" i="1" s="1"/>
  <c r="J43" i="1" l="1"/>
  <c r="A11" i="8" l="1"/>
  <c r="J49" i="1" l="1"/>
  <c r="L49" i="1" s="1"/>
  <c r="J57" i="1"/>
  <c r="L57" i="1" s="1"/>
  <c r="J58" i="1"/>
  <c r="L58" i="1" s="1"/>
  <c r="M58" i="1" s="1"/>
  <c r="M49" i="1" l="1"/>
  <c r="Q58" i="1"/>
  <c r="N58" i="1"/>
  <c r="O58" i="1" s="1"/>
  <c r="E58" i="1" s="1"/>
  <c r="C47" i="8" s="1"/>
  <c r="M57" i="1"/>
  <c r="A62" i="8"/>
  <c r="A38" i="8"/>
  <c r="A39" i="8"/>
  <c r="A40" i="8"/>
  <c r="A42" i="8"/>
  <c r="A43" i="8"/>
  <c r="A37" i="8"/>
  <c r="A33" i="8"/>
  <c r="A34" i="8"/>
  <c r="J30" i="1"/>
  <c r="L30" i="1" s="1"/>
  <c r="M30" i="1" s="1"/>
  <c r="J29" i="1"/>
  <c r="L29" i="1" s="1"/>
  <c r="M29" i="1" s="1"/>
  <c r="Q49" i="1" l="1"/>
  <c r="N49" i="1"/>
  <c r="O49" i="1" s="1"/>
  <c r="P49" i="1" s="1"/>
  <c r="S49" i="1" s="1"/>
  <c r="P58" i="1"/>
  <c r="N57" i="1"/>
  <c r="O57" i="1" s="1"/>
  <c r="Q57" i="1"/>
  <c r="Q30" i="1"/>
  <c r="N30" i="1"/>
  <c r="O30" i="1" s="1"/>
  <c r="Q29" i="1"/>
  <c r="N29" i="1"/>
  <c r="O29" i="1" s="1"/>
  <c r="J34" i="1"/>
  <c r="L34" i="1" s="1"/>
  <c r="M34" i="1" s="1"/>
  <c r="J31" i="1"/>
  <c r="L31" i="1" s="1"/>
  <c r="M31" i="1" s="1"/>
  <c r="T49" i="1" l="1"/>
  <c r="E57" i="1"/>
  <c r="C46" i="8" s="1"/>
  <c r="U49" i="1"/>
  <c r="P57" i="1"/>
  <c r="S58" i="1"/>
  <c r="T58" i="1" s="1"/>
  <c r="P29" i="1"/>
  <c r="E29" i="1"/>
  <c r="P30" i="1"/>
  <c r="E30" i="1"/>
  <c r="C94" i="8" s="1"/>
  <c r="N34" i="1"/>
  <c r="O34" i="1" s="1"/>
  <c r="Q34" i="1"/>
  <c r="N31" i="1"/>
  <c r="O31" i="1" s="1"/>
  <c r="Q31" i="1"/>
  <c r="S57" i="1" l="1"/>
  <c r="T57" i="1" s="1"/>
  <c r="U58" i="1"/>
  <c r="E34" i="8"/>
  <c r="E33" i="8"/>
  <c r="S30" i="1"/>
  <c r="T30" i="1" s="1"/>
  <c r="S29" i="1"/>
  <c r="T29" i="1" s="1"/>
  <c r="P34" i="1"/>
  <c r="S34" i="1" s="1"/>
  <c r="E34" i="1"/>
  <c r="C62" i="8" s="1"/>
  <c r="P31" i="1"/>
  <c r="E31" i="1"/>
  <c r="J55" i="1"/>
  <c r="T34" i="1" l="1"/>
  <c r="C11" i="8"/>
  <c r="E11" i="8" s="1"/>
  <c r="S31" i="1"/>
  <c r="T31" i="1" s="1"/>
  <c r="U57" i="1"/>
  <c r="U30" i="1"/>
  <c r="U29" i="1"/>
  <c r="U34" i="1"/>
  <c r="L55" i="1"/>
  <c r="M55" i="1" s="1"/>
  <c r="J56" i="1"/>
  <c r="J54" i="1"/>
  <c r="U31" i="1" l="1"/>
  <c r="N55" i="1"/>
  <c r="O55" i="1" s="1"/>
  <c r="E55" i="1" s="1"/>
  <c r="Q55" i="1"/>
  <c r="L56" i="1"/>
  <c r="M56" i="1" s="1"/>
  <c r="L54" i="1"/>
  <c r="M54" i="1" s="1"/>
  <c r="P55" i="1" l="1"/>
  <c r="N54" i="1"/>
  <c r="O54" i="1" s="1"/>
  <c r="E54" i="1" s="1"/>
  <c r="Q54" i="1"/>
  <c r="N56" i="1"/>
  <c r="O56" i="1" s="1"/>
  <c r="Q56" i="1"/>
  <c r="A4" i="8"/>
  <c r="S55" i="1" l="1"/>
  <c r="T55" i="1" s="1"/>
  <c r="P54" i="1"/>
  <c r="E56" i="1"/>
  <c r="P56" i="1"/>
  <c r="J10" i="1"/>
  <c r="U55" i="1" l="1"/>
  <c r="S56" i="1"/>
  <c r="T56" i="1" s="1"/>
  <c r="S54" i="1"/>
  <c r="T54" i="1" s="1"/>
  <c r="L10" i="1"/>
  <c r="M10" i="1" s="1"/>
  <c r="U56" i="1" l="1"/>
  <c r="U54" i="1"/>
  <c r="Q10" i="1"/>
  <c r="N10" i="1"/>
  <c r="O10" i="1" s="1"/>
  <c r="P10" i="1" s="1"/>
  <c r="S10" i="1" l="1"/>
  <c r="U10" i="1" s="1"/>
  <c r="E56" i="8"/>
  <c r="T10" i="1" l="1"/>
  <c r="H50" i="1"/>
  <c r="J50" i="1" s="1"/>
  <c r="L50" i="1" s="1"/>
  <c r="H47" i="1"/>
  <c r="A31" i="8"/>
  <c r="A32" i="8"/>
  <c r="A30" i="8"/>
  <c r="J23" i="1"/>
  <c r="J20" i="1"/>
  <c r="J18" i="1"/>
  <c r="J19" i="1"/>
  <c r="J17" i="1"/>
  <c r="J24" i="1"/>
  <c r="M50" i="1" l="1"/>
  <c r="L23" i="1"/>
  <c r="M23" i="1" s="1"/>
  <c r="L20" i="1"/>
  <c r="M20" i="1" s="1"/>
  <c r="L18" i="1"/>
  <c r="M18" i="1" s="1"/>
  <c r="L19" i="1"/>
  <c r="M19" i="1" s="1"/>
  <c r="L17" i="1"/>
  <c r="M17" i="1" s="1"/>
  <c r="L24" i="1"/>
  <c r="M24" i="1" s="1"/>
  <c r="N50" i="1" l="1"/>
  <c r="O50" i="1" s="1"/>
  <c r="E50" i="1" s="1"/>
  <c r="Q50" i="1"/>
  <c r="N23" i="1"/>
  <c r="O23" i="1" s="1"/>
  <c r="E23" i="1" s="1"/>
  <c r="C26" i="8" s="1"/>
  <c r="Q23" i="1"/>
  <c r="N20" i="1"/>
  <c r="O20" i="1" s="1"/>
  <c r="E20" i="1" s="1"/>
  <c r="Q20" i="1"/>
  <c r="N18" i="1"/>
  <c r="O18" i="1" s="1"/>
  <c r="E18" i="1" s="1"/>
  <c r="Q18" i="1"/>
  <c r="N19" i="1"/>
  <c r="O19" i="1" s="1"/>
  <c r="E19" i="1" s="1"/>
  <c r="C22" i="8" s="1"/>
  <c r="Q19" i="1"/>
  <c r="N17" i="1"/>
  <c r="O17" i="1" s="1"/>
  <c r="E17" i="1" s="1"/>
  <c r="Q17" i="1"/>
  <c r="Q24" i="1"/>
  <c r="N24" i="1"/>
  <c r="O24" i="1" s="1"/>
  <c r="E24" i="1" s="1"/>
  <c r="C102" i="8" s="1"/>
  <c r="C20" i="8" l="1"/>
  <c r="C21" i="8"/>
  <c r="C72" i="8"/>
  <c r="C27" i="8"/>
  <c r="C23" i="8"/>
  <c r="P50" i="1"/>
  <c r="S50" i="1" s="1"/>
  <c r="U50" i="1" s="1"/>
  <c r="P23" i="1"/>
  <c r="P20" i="1"/>
  <c r="P18" i="1"/>
  <c r="P19" i="1"/>
  <c r="P17" i="1"/>
  <c r="P24" i="1"/>
  <c r="J46" i="1"/>
  <c r="T50" i="1" l="1"/>
  <c r="S23" i="1"/>
  <c r="T23" i="1" s="1"/>
  <c r="S20" i="1"/>
  <c r="T20" i="1" s="1"/>
  <c r="S18" i="1"/>
  <c r="T18" i="1" s="1"/>
  <c r="S19" i="1"/>
  <c r="T19" i="1" s="1"/>
  <c r="S17" i="1"/>
  <c r="T17" i="1" s="1"/>
  <c r="S24" i="1"/>
  <c r="T24" i="1" s="1"/>
  <c r="L46" i="1"/>
  <c r="M46" i="1" s="1"/>
  <c r="J25" i="1"/>
  <c r="J21" i="1"/>
  <c r="U24" i="1" l="1"/>
  <c r="U23" i="1"/>
  <c r="U20" i="1"/>
  <c r="U18" i="1"/>
  <c r="U19" i="1"/>
  <c r="U17" i="1"/>
  <c r="Q46" i="1"/>
  <c r="N46" i="1"/>
  <c r="O46" i="1" s="1"/>
  <c r="L21" i="1"/>
  <c r="M21" i="1" s="1"/>
  <c r="L25" i="1"/>
  <c r="M25" i="1" s="1"/>
  <c r="J44" i="1"/>
  <c r="J45" i="1"/>
  <c r="E46" i="1" l="1"/>
  <c r="P46" i="1"/>
  <c r="N21" i="1"/>
  <c r="O21" i="1" s="1"/>
  <c r="Q21" i="1"/>
  <c r="Q25" i="1"/>
  <c r="N25" i="1"/>
  <c r="O25" i="1" s="1"/>
  <c r="E25" i="1" s="1"/>
  <c r="L44" i="1"/>
  <c r="M44" i="1" s="1"/>
  <c r="L45" i="1"/>
  <c r="M45" i="1" s="1"/>
  <c r="D25" i="11"/>
  <c r="D24" i="11"/>
  <c r="D23" i="11"/>
  <c r="D22" i="11"/>
  <c r="D21" i="11"/>
  <c r="D20" i="11"/>
  <c r="D19" i="11"/>
  <c r="D18" i="11"/>
  <c r="D17" i="11"/>
  <c r="D16" i="11"/>
  <c r="D15" i="11"/>
  <c r="D14" i="11"/>
  <c r="D26" i="11" l="1"/>
  <c r="D28" i="11" s="1"/>
  <c r="D30" i="11" s="1"/>
  <c r="P21" i="1"/>
  <c r="S21" i="1" s="1"/>
  <c r="T21" i="1" s="1"/>
  <c r="E21" i="1"/>
  <c r="C24" i="8" s="1"/>
  <c r="S46" i="1"/>
  <c r="T46" i="1" s="1"/>
  <c r="P25" i="1"/>
  <c r="S25" i="1" s="1"/>
  <c r="T25" i="1" s="1"/>
  <c r="Q45" i="1"/>
  <c r="N45" i="1"/>
  <c r="O45" i="1" s="1"/>
  <c r="E45" i="1" s="1"/>
  <c r="Q44" i="1"/>
  <c r="N44" i="1"/>
  <c r="O44" i="1" s="1"/>
  <c r="D14" i="6"/>
  <c r="D15" i="6"/>
  <c r="D16" i="6"/>
  <c r="D17" i="6"/>
  <c r="D18" i="6"/>
  <c r="D19" i="6"/>
  <c r="D20" i="6"/>
  <c r="D21" i="6"/>
  <c r="D22" i="6"/>
  <c r="D23" i="6"/>
  <c r="E44" i="1" l="1"/>
  <c r="C66" i="8" s="1"/>
  <c r="U46" i="1"/>
  <c r="U25" i="1"/>
  <c r="U21" i="1"/>
  <c r="P45" i="1"/>
  <c r="P44" i="1"/>
  <c r="J42" i="1"/>
  <c r="S44" i="1" l="1"/>
  <c r="S45" i="1"/>
  <c r="T45" i="1" s="1"/>
  <c r="L42" i="1"/>
  <c r="M42" i="1" s="1"/>
  <c r="Q42" i="1" s="1"/>
  <c r="J35" i="1"/>
  <c r="L35" i="1" s="1"/>
  <c r="J13" i="1"/>
  <c r="L13" i="1" s="1"/>
  <c r="T44" i="1" l="1"/>
  <c r="N42" i="1"/>
  <c r="O42" i="1" s="1"/>
  <c r="U45" i="1"/>
  <c r="U44" i="1"/>
  <c r="M35" i="1"/>
  <c r="M13" i="1"/>
  <c r="D16" i="9"/>
  <c r="D17" i="9"/>
  <c r="D18" i="9"/>
  <c r="D19" i="9"/>
  <c r="D20" i="9"/>
  <c r="D21" i="9"/>
  <c r="D22" i="9"/>
  <c r="D23" i="9"/>
  <c r="D24" i="9"/>
  <c r="P42" i="1" l="1"/>
  <c r="S42" i="1" s="1"/>
  <c r="U42" i="1" s="1"/>
  <c r="E42" i="1"/>
  <c r="C96" i="8" s="1"/>
  <c r="Q35" i="1"/>
  <c r="N35" i="1"/>
  <c r="O35" i="1" s="1"/>
  <c r="E35" i="1" s="1"/>
  <c r="Q13" i="1"/>
  <c r="N13" i="1"/>
  <c r="O13" i="1" s="1"/>
  <c r="E13" i="1" s="1"/>
  <c r="C17" i="8" s="1"/>
  <c r="D24" i="6"/>
  <c r="D15" i="9"/>
  <c r="D25" i="9" s="1"/>
  <c r="D15" i="3"/>
  <c r="D16" i="3"/>
  <c r="D17" i="3"/>
  <c r="D18" i="3"/>
  <c r="D19" i="3"/>
  <c r="D20" i="3"/>
  <c r="D21" i="3"/>
  <c r="D22" i="3"/>
  <c r="D23" i="3"/>
  <c r="D24" i="3"/>
  <c r="D25" i="3"/>
  <c r="D14" i="3"/>
  <c r="C76" i="8" l="1"/>
  <c r="C85" i="8"/>
  <c r="T42" i="1"/>
  <c r="P35" i="1"/>
  <c r="P13" i="1"/>
  <c r="L43" i="1"/>
  <c r="M43" i="1" s="1"/>
  <c r="S13" i="1" l="1"/>
  <c r="U13" i="1" s="1"/>
  <c r="S35" i="1"/>
  <c r="U35" i="1" s="1"/>
  <c r="Q43" i="1"/>
  <c r="N43" i="1"/>
  <c r="O43" i="1" s="1"/>
  <c r="J41" i="1"/>
  <c r="T35" i="1" l="1"/>
  <c r="T13" i="1"/>
  <c r="E43" i="1"/>
  <c r="P43" i="1"/>
  <c r="L41" i="1"/>
  <c r="M41" i="1" s="1"/>
  <c r="S43" i="1" l="1"/>
  <c r="T43" i="1" s="1"/>
  <c r="N41" i="1"/>
  <c r="O41" i="1" s="1"/>
  <c r="Q41" i="1"/>
  <c r="E41" i="1" l="1"/>
  <c r="C86" i="8" s="1"/>
  <c r="U43" i="1"/>
  <c r="P41" i="1"/>
  <c r="S41" i="1" s="1"/>
  <c r="T41" i="1" s="1"/>
  <c r="C75" i="8" l="1"/>
  <c r="C95" i="8"/>
  <c r="U41" i="1"/>
  <c r="J11" i="1" l="1"/>
  <c r="L11" i="1" s="1"/>
  <c r="M11" i="1" s="1"/>
  <c r="Q11" i="1" s="1"/>
  <c r="N11" i="1" l="1"/>
  <c r="O11" i="1" s="1"/>
  <c r="E11" i="1" s="1"/>
  <c r="C93" i="8" l="1"/>
  <c r="C83" i="8"/>
  <c r="C73" i="8"/>
  <c r="C65" i="8"/>
  <c r="C5" i="8"/>
  <c r="P11" i="1"/>
  <c r="S11" i="1" l="1"/>
  <c r="T11" i="1" l="1"/>
  <c r="U11" i="1"/>
  <c r="J32" i="1"/>
  <c r="L32" i="1" s="1"/>
  <c r="M32" i="1" s="1"/>
  <c r="Q32" i="1" l="1"/>
  <c r="N32" i="1"/>
  <c r="O32" i="1" s="1"/>
  <c r="E32" i="1" l="1"/>
  <c r="P32" i="1"/>
  <c r="C10" i="8" l="1"/>
  <c r="E10" i="8" s="1"/>
  <c r="C103" i="8"/>
  <c r="S32" i="1"/>
  <c r="U32" i="1" s="1"/>
  <c r="T32" i="1" l="1"/>
  <c r="E57" i="8" l="1"/>
  <c r="J47" i="1" l="1"/>
  <c r="L47" i="1" s="1"/>
  <c r="M47" i="1" l="1"/>
  <c r="N47" i="1" l="1"/>
  <c r="O47" i="1" s="1"/>
  <c r="E47" i="1" s="1"/>
  <c r="Q47" i="1"/>
  <c r="D26" i="3"/>
  <c r="P47" i="1" l="1"/>
  <c r="S47" i="1" s="1"/>
  <c r="T47" i="1" s="1"/>
  <c r="U47" i="1" l="1"/>
  <c r="J51" i="1"/>
  <c r="L51" i="1" s="1"/>
  <c r="M51" i="1" s="1"/>
  <c r="Q51" i="1" s="1"/>
  <c r="J53" i="1"/>
  <c r="L53" i="1" s="1"/>
  <c r="J16" i="1" l="1"/>
  <c r="L16" i="1" s="1"/>
  <c r="M16" i="1" s="1"/>
  <c r="Q16" i="1" s="1"/>
  <c r="N51" i="1"/>
  <c r="O51" i="1" s="1"/>
  <c r="E51" i="1" s="1"/>
  <c r="C53" i="8" s="1"/>
  <c r="M53" i="1"/>
  <c r="Q53" i="1" s="1"/>
  <c r="E53" i="8" l="1"/>
  <c r="J37" i="1"/>
  <c r="L37" i="1" s="1"/>
  <c r="M37" i="1" s="1"/>
  <c r="P51" i="1"/>
  <c r="N53" i="1"/>
  <c r="O53" i="1" s="1"/>
  <c r="E53" i="1" s="1"/>
  <c r="E55" i="8" s="1"/>
  <c r="N16" i="1"/>
  <c r="O16" i="1" s="1"/>
  <c r="E16" i="1" s="1"/>
  <c r="C92" i="8" s="1"/>
  <c r="J14" i="1"/>
  <c r="J48" i="1"/>
  <c r="C19" i="8" l="1"/>
  <c r="C82" i="8"/>
  <c r="J36" i="1"/>
  <c r="L36" i="1" s="1"/>
  <c r="M36" i="1" s="1"/>
  <c r="Q36" i="1" s="1"/>
  <c r="J28" i="1"/>
  <c r="L28" i="1" s="1"/>
  <c r="M28" i="1" s="1"/>
  <c r="Q28" i="1" s="1"/>
  <c r="J15" i="1"/>
  <c r="L15" i="1" s="1"/>
  <c r="M15" i="1" s="1"/>
  <c r="Q15" i="1" s="1"/>
  <c r="J12" i="1"/>
  <c r="L12" i="1" s="1"/>
  <c r="M12" i="1" s="1"/>
  <c r="Q12" i="1" s="1"/>
  <c r="J38" i="1"/>
  <c r="L38" i="1" s="1"/>
  <c r="M38" i="1" s="1"/>
  <c r="Q38" i="1" s="1"/>
  <c r="J33" i="1"/>
  <c r="L33" i="1" s="1"/>
  <c r="M33" i="1" s="1"/>
  <c r="Q33" i="1" s="1"/>
  <c r="J27" i="1"/>
  <c r="L27" i="1" s="1"/>
  <c r="M27" i="1" s="1"/>
  <c r="Q27" i="1" s="1"/>
  <c r="J40" i="1"/>
  <c r="L40" i="1" s="1"/>
  <c r="M40" i="1" s="1"/>
  <c r="Q40" i="1" s="1"/>
  <c r="J39" i="1"/>
  <c r="L39" i="1" s="1"/>
  <c r="M39" i="1" s="1"/>
  <c r="Q39" i="1" s="1"/>
  <c r="J26" i="1"/>
  <c r="L26" i="1" s="1"/>
  <c r="M26" i="1" s="1"/>
  <c r="Q26" i="1" s="1"/>
  <c r="J9" i="1"/>
  <c r="L9" i="1" s="1"/>
  <c r="M9" i="1" s="1"/>
  <c r="Q9" i="1" s="1"/>
  <c r="S51" i="1"/>
  <c r="T51" i="1" s="1"/>
  <c r="N37" i="1"/>
  <c r="O37" i="1" s="1"/>
  <c r="E37" i="1" s="1"/>
  <c r="Q37" i="1"/>
  <c r="P53" i="1"/>
  <c r="P16" i="1"/>
  <c r="L48" i="1"/>
  <c r="M48" i="1" s="1"/>
  <c r="Q48" i="1" s="1"/>
  <c r="L14" i="1"/>
  <c r="M14" i="1" s="1"/>
  <c r="Q14" i="1" s="1"/>
  <c r="Q62" i="1" l="1"/>
  <c r="C81" i="8"/>
  <c r="C13" i="8"/>
  <c r="E13" i="8" s="1"/>
  <c r="U51" i="1"/>
  <c r="S16" i="1"/>
  <c r="S53" i="1"/>
  <c r="T53" i="1" s="1"/>
  <c r="P37" i="1"/>
  <c r="N40" i="1"/>
  <c r="O40" i="1" s="1"/>
  <c r="E40" i="1" s="1"/>
  <c r="N36" i="1"/>
  <c r="O36" i="1" s="1"/>
  <c r="E36" i="1" s="1"/>
  <c r="C71" i="8" s="1"/>
  <c r="E10" i="1"/>
  <c r="N15" i="1"/>
  <c r="O15" i="1" s="1"/>
  <c r="N26" i="1"/>
  <c r="O26" i="1" s="1"/>
  <c r="E26" i="1" s="1"/>
  <c r="C104" i="8" s="1"/>
  <c r="N33" i="1"/>
  <c r="O33" i="1" s="1"/>
  <c r="E33" i="1" s="1"/>
  <c r="C91" i="8" s="1"/>
  <c r="N27" i="1"/>
  <c r="O27" i="1" s="1"/>
  <c r="E27" i="1" s="1"/>
  <c r="N12" i="1"/>
  <c r="O12" i="1" s="1"/>
  <c r="N28" i="1"/>
  <c r="O28" i="1" s="1"/>
  <c r="E28" i="1" s="1"/>
  <c r="C84" i="8" s="1"/>
  <c r="N48" i="1"/>
  <c r="O48" i="1" s="1"/>
  <c r="E48" i="1" s="1"/>
  <c r="C97" i="8" s="1"/>
  <c r="N39" i="1"/>
  <c r="O39" i="1" s="1"/>
  <c r="E39" i="1" s="1"/>
  <c r="N9" i="1"/>
  <c r="O9" i="1" s="1"/>
  <c r="N38" i="1"/>
  <c r="O38" i="1" s="1"/>
  <c r="E38" i="1" s="1"/>
  <c r="N14" i="1"/>
  <c r="O14" i="1" s="1"/>
  <c r="T16" i="1" l="1"/>
  <c r="C88" i="8"/>
  <c r="E81" i="8" s="1"/>
  <c r="C98" i="8"/>
  <c r="E91" i="8" s="1"/>
  <c r="C64" i="8"/>
  <c r="C68" i="8" s="1"/>
  <c r="E62" i="8" s="1"/>
  <c r="C74" i="8"/>
  <c r="C78" i="8" s="1"/>
  <c r="E71" i="8" s="1"/>
  <c r="C12" i="8"/>
  <c r="E12" i="8" s="1"/>
  <c r="C14" i="8"/>
  <c r="E14" i="8" s="1"/>
  <c r="E14" i="1"/>
  <c r="E15" i="1"/>
  <c r="C4" i="8"/>
  <c r="E9" i="1"/>
  <c r="C101" i="8" s="1"/>
  <c r="C107" i="8" s="1"/>
  <c r="E12" i="1"/>
  <c r="C6" i="8" s="1"/>
  <c r="E32" i="8"/>
  <c r="E31" i="8"/>
  <c r="U53" i="1"/>
  <c r="U16" i="1"/>
  <c r="S37" i="1"/>
  <c r="T37" i="1" s="1"/>
  <c r="P38" i="1"/>
  <c r="P33" i="1"/>
  <c r="P27" i="1"/>
  <c r="P15" i="1"/>
  <c r="S15" i="1" s="1"/>
  <c r="P48" i="1"/>
  <c r="P40" i="1"/>
  <c r="P14" i="1"/>
  <c r="P9" i="1"/>
  <c r="P39" i="1"/>
  <c r="P28" i="1"/>
  <c r="P12" i="1"/>
  <c r="P26" i="1"/>
  <c r="P36" i="1"/>
  <c r="S36" i="1" s="1"/>
  <c r="P62" i="1" l="1"/>
  <c r="C7" i="8"/>
  <c r="S14" i="1"/>
  <c r="T14" i="1" s="1"/>
  <c r="S26" i="1"/>
  <c r="T26" i="1" s="1"/>
  <c r="S40" i="1"/>
  <c r="T40" i="1" s="1"/>
  <c r="S12" i="1"/>
  <c r="S33" i="1"/>
  <c r="T33" i="1" s="1"/>
  <c r="T36" i="1"/>
  <c r="S27" i="1"/>
  <c r="T28" i="1"/>
  <c r="S39" i="1"/>
  <c r="T39" i="1" s="1"/>
  <c r="S48" i="1"/>
  <c r="S38" i="1"/>
  <c r="T38" i="1" s="1"/>
  <c r="U37" i="1"/>
  <c r="S9" i="1"/>
  <c r="T9" i="1" s="1"/>
  <c r="T15" i="1"/>
  <c r="D28" i="3"/>
  <c r="D30" i="3" s="1"/>
  <c r="S62" i="1" l="1"/>
  <c r="T12" i="1"/>
  <c r="T27" i="1"/>
  <c r="T48" i="1"/>
  <c r="U40" i="1"/>
  <c r="U33" i="1"/>
  <c r="U12" i="1"/>
  <c r="U39" i="1"/>
  <c r="U27" i="1"/>
  <c r="U38" i="1"/>
  <c r="U48" i="1"/>
  <c r="U26" i="1"/>
  <c r="U28" i="1"/>
  <c r="U36" i="1"/>
  <c r="U15" i="1"/>
  <c r="U14" i="1"/>
  <c r="U9" i="1"/>
  <c r="T62" i="1" l="1"/>
  <c r="U62" i="1"/>
  <c r="D25" i="6"/>
  <c r="D26" i="6"/>
  <c r="D28" i="6" s="1"/>
  <c r="D30" i="6" s="1"/>
</calcChain>
</file>

<file path=xl/sharedStrings.xml><?xml version="1.0" encoding="utf-8"?>
<sst xmlns="http://schemas.openxmlformats.org/spreadsheetml/2006/main" count="224" uniqueCount="140">
  <si>
    <t>Konstanter:</t>
  </si>
  <si>
    <t>Faktor DB</t>
  </si>
  <si>
    <t>Rabatt</t>
  </si>
  <si>
    <t>Moms</t>
  </si>
  <si>
    <t>Kurs NOK</t>
  </si>
  <si>
    <t>Stk</t>
  </si>
  <si>
    <t>Vare</t>
  </si>
  <si>
    <t>Dato</t>
  </si>
  <si>
    <t>Subtotal</t>
  </si>
  <si>
    <t>Frakt</t>
  </si>
  <si>
    <t xml:space="preserve">Pris </t>
  </si>
  <si>
    <t>Moms utgjør</t>
  </si>
  <si>
    <t>Solcelle</t>
  </si>
  <si>
    <t>MPPT</t>
  </si>
  <si>
    <t>Batteri</t>
  </si>
  <si>
    <t>Inverter</t>
  </si>
  <si>
    <t>Tilbehør</t>
  </si>
  <si>
    <t>Gruppering</t>
  </si>
  <si>
    <t xml:space="preserve">MVA </t>
  </si>
  <si>
    <t xml:space="preserve">
Stk.
Veil NOK</t>
  </si>
  <si>
    <t>Linie
Salg NOK</t>
  </si>
  <si>
    <t>Rab %</t>
  </si>
  <si>
    <t>Rabatt kr.</t>
  </si>
  <si>
    <t>Fragt 
NOK</t>
  </si>
  <si>
    <t>Kost 
NOK</t>
  </si>
  <si>
    <t>Fortj. 
faktor</t>
  </si>
  <si>
    <t>Fortj. 
NOK</t>
  </si>
  <si>
    <t>Pris ex. 
MVA</t>
  </si>
  <si>
    <t>Fortj. 
før rab.</t>
  </si>
  <si>
    <t>Fortj. 
Efter rab.</t>
  </si>
  <si>
    <t>KØB
 NOK</t>
  </si>
  <si>
    <t>Køb 
DKK</t>
  </si>
  <si>
    <t xml:space="preserve">Køb 
EUR </t>
  </si>
  <si>
    <t>Laderegulator</t>
  </si>
  <si>
    <t>Solcelle kabel</t>
  </si>
  <si>
    <t>Beløp</t>
  </si>
  <si>
    <t>Pris</t>
  </si>
  <si>
    <t>Antall</t>
  </si>
  <si>
    <t>AntalL</t>
  </si>
  <si>
    <t xml:space="preserve">Dato: </t>
  </si>
  <si>
    <t>Fakturaspesifikasjon</t>
  </si>
  <si>
    <t xml:space="preserve">Faktura: </t>
  </si>
  <si>
    <t>Beskrivelse</t>
  </si>
  <si>
    <t>Liniepris til kopiering</t>
  </si>
  <si>
    <t xml:space="preserve">Sum: </t>
  </si>
  <si>
    <t>Victron Cerbo GX Systemovervåkning</t>
  </si>
  <si>
    <t xml:space="preserve">Tilbud på kraftpakke  med Victron MultiPlus-II inverter </t>
  </si>
  <si>
    <t>Tilbud med Vaillant gasskjele</t>
  </si>
  <si>
    <t>Tilbud på systemovervåkning av kraftpakkeanlegg</t>
  </si>
  <si>
    <t xml:space="preserve">Tilbudet inneholder: 
</t>
  </si>
  <si>
    <t>Victron styring og komminakasjon</t>
  </si>
  <si>
    <t>Dyno Lead Carbon batteri DLC12V/200Ah</t>
  </si>
  <si>
    <t>Victron VE.Bus Smart dongle</t>
  </si>
  <si>
    <t>Invertere</t>
  </si>
  <si>
    <t>Kabel 2*6mm2 pr. meter</t>
  </si>
  <si>
    <t xml:space="preserve">Victron MultiPlus-ll 48/5000/70 </t>
  </si>
  <si>
    <t>Pakkepris</t>
  </si>
  <si>
    <t>Navn:</t>
  </si>
  <si>
    <t>Adresse:</t>
  </si>
  <si>
    <t>Post &amp; By:                                                                                           Tel:</t>
  </si>
  <si>
    <t>E-post:</t>
  </si>
  <si>
    <t xml:space="preserve">Solcellepanel </t>
  </si>
  <si>
    <t>VEIL.PRIS</t>
  </si>
  <si>
    <t>RABATT</t>
  </si>
  <si>
    <t>MESSEPRIS</t>
  </si>
  <si>
    <t>udg</t>
  </si>
  <si>
    <t>Sikring - 250A/32V m/holder</t>
  </si>
  <si>
    <t>Victrom SmartShunt 500A - batterimonitor</t>
  </si>
  <si>
    <t>Sikringer, Kabler mellom Solpanel/MPPT og Batteri/Inverter (10M)</t>
  </si>
  <si>
    <t xml:space="preserve">PowerPack Litium batteri 48V 5KWh - 19" Rack m/varme </t>
  </si>
  <si>
    <t>Victron MultiPlus-ll 12/3000/120</t>
  </si>
  <si>
    <t>Victron MultiPlus-ll 24/3000/70</t>
  </si>
  <si>
    <t>Victron MultiPlus-ll 48/3000/35</t>
  </si>
  <si>
    <t>CSUN Solar Panel 380W Black</t>
  </si>
  <si>
    <t>Victron "SmartSolar" MPPT  100/50</t>
  </si>
  <si>
    <t>Victron "SmartSolar" MPPT  150/35</t>
  </si>
  <si>
    <t>Victron "SmartSolar" MPPT   150/70</t>
  </si>
  <si>
    <t>Sikringsskap m/jordfeilsbryter</t>
  </si>
  <si>
    <t>Varme</t>
  </si>
  <si>
    <t>Vare betegnelse</t>
  </si>
  <si>
    <t>Victron GX Touch 50 - Skjerm til Cerbo GX m/feste</t>
  </si>
  <si>
    <t>Victron DC-DC Orion konverter 12/12 - 220W-18A</t>
  </si>
  <si>
    <t>Bobil &amp; Båt Victron 1600VA - 12V</t>
  </si>
  <si>
    <t>Victron "SmartSolar" MPPT  250/60</t>
  </si>
  <si>
    <t>Victron Ekrano GX  Systemovervåkning m/Skjerm</t>
  </si>
  <si>
    <t>Victron Global link 520 4G kommunikasjon</t>
  </si>
  <si>
    <t>varme</t>
  </si>
  <si>
    <t>WINAICI 425W - Mono FukllBlack -30 års garanti</t>
  </si>
  <si>
    <t xml:space="preserve"> </t>
  </si>
  <si>
    <t>CSUN Solar Panel 410W Black - 25/10 års garanti</t>
  </si>
  <si>
    <t>CSUN Solar Panel 450W Black - 25/10 års garanti</t>
  </si>
  <si>
    <t>Kurs EUR/NOK</t>
  </si>
  <si>
    <t>Aggregat</t>
  </si>
  <si>
    <t>Aaggregat</t>
  </si>
  <si>
    <t>Eksosadapter til HY3900SEi</t>
  </si>
  <si>
    <t>Eksosadapter til HY6500SEi</t>
  </si>
  <si>
    <t>Victron "SmartSolar" MPPT  150/70</t>
  </si>
  <si>
    <t>Skanbatt Litium HEAT PRO 12V 200AH</t>
  </si>
  <si>
    <t>Victron MultiPlus-ll 48/8000/110</t>
  </si>
  <si>
    <t>Victron Multi Plus 12/2000/80</t>
  </si>
  <si>
    <t>Victron DC-DC konverter 48/12 - 240W</t>
  </si>
  <si>
    <t>GSM fjernstarter- 4G - 2 Utganger</t>
  </si>
  <si>
    <t>Victron GX GSM modem</t>
  </si>
  <si>
    <t>PYLONTECH Litium batteri 48V 5KWh - 10 års garanti</t>
  </si>
  <si>
    <t>Batterier</t>
  </si>
  <si>
    <t>Litium</t>
  </si>
  <si>
    <t>Victron 12V/3000VA 5kWh</t>
  </si>
  <si>
    <t>Victron 48V/3000VA - 5,1 kWh</t>
  </si>
  <si>
    <t>Victron 48/5000VA  6,14kWh</t>
  </si>
  <si>
    <t>Victron MultiPlus-ll 12/1600/70</t>
  </si>
  <si>
    <t>Victron "SmartSolar"  MPPT 75/10</t>
  </si>
  <si>
    <t>Skanbatt Litium batteri 48V 5KWh, 19" m/Heat 8 års garanti</t>
  </si>
  <si>
    <t>Bobil Solcellepakke: 185W*2, monteringsskinner og gjennomføringer</t>
  </si>
  <si>
    <t>Lead Carbon batteri 12V/108 Ah</t>
  </si>
  <si>
    <t>Lead AH batteri 12V/216 Ah</t>
  </si>
  <si>
    <t>Skanbatt PowerWall 120Ah 6,1kWh m/varmefolie,  8 års garanti</t>
  </si>
  <si>
    <t>Skanbatt PowerWall 100Ah 5,1KWh, 8 års garanti</t>
  </si>
  <si>
    <t>IMPROVE Litium Rackbatteri 51,2V 100Ah 2 års garanti</t>
  </si>
  <si>
    <t>Skanbatt Litium HEAT PRO 12V 100Ah</t>
  </si>
  <si>
    <t>Power Litiumbatteri Freeze 2.0 12V/100Ah Bluetooth m/heat</t>
  </si>
  <si>
    <t>Power Litiumbatteri Freeze 2.0 12V/200Ah  Bluetooth m/heat</t>
  </si>
  <si>
    <t>Power Litiumbatteri Freeze 2.0 24V/100Ah Bluetooth m/heat</t>
  </si>
  <si>
    <t>Vannbåren varmesystem - Weishaupt gasskjele</t>
  </si>
  <si>
    <t>Weishaupt WTC 15 kondenserende gasskjele</t>
  </si>
  <si>
    <t>Weishaupt avtrekk gjennom vegg</t>
  </si>
  <si>
    <t>Weishaupt uteføler</t>
  </si>
  <si>
    <t>Weishaupt føler for Varmtvannsbereder</t>
  </si>
  <si>
    <t>5 års tilgang til Weishaupt WEM portal for fjernjustering</t>
  </si>
  <si>
    <t>Rabatt salgspris</t>
  </si>
  <si>
    <t>Victron 8000VA - 48V   12,2kWh</t>
  </si>
  <si>
    <t xml:space="preserve">HYUNDAI HY3900SEi  Elstart Fjernkontro l- garanti 2 år </t>
  </si>
  <si>
    <t xml:space="preserve">HYUNDAI HY6500SEi  Elstart Fjernkontroll - garanti 2 år </t>
  </si>
  <si>
    <r>
      <rPr>
        <i/>
        <sz val="12"/>
        <color theme="1"/>
        <rFont val="Tahoma"/>
        <family val="2"/>
      </rPr>
      <t xml:space="preserve">Pylontech </t>
    </r>
    <r>
      <rPr>
        <sz val="12"/>
        <color theme="1"/>
        <rFont val="Tahoma"/>
        <family val="2"/>
      </rPr>
      <t xml:space="preserve">
</t>
    </r>
    <r>
      <rPr>
        <i/>
        <sz val="12"/>
        <color theme="1"/>
        <rFont val="Tahoma"/>
        <family val="2"/>
      </rPr>
      <t>15kWh</t>
    </r>
    <r>
      <rPr>
        <b/>
        <sz val="12"/>
        <color theme="1"/>
        <rFont val="Tahoma"/>
        <family val="2"/>
      </rPr>
      <t xml:space="preserve">
144.125</t>
    </r>
  </si>
  <si>
    <r>
      <rPr>
        <i/>
        <sz val="11"/>
        <color theme="1"/>
        <rFont val="Tahoma"/>
        <family val="2"/>
      </rPr>
      <t>Pylontech</t>
    </r>
    <r>
      <rPr>
        <b/>
        <sz val="11"/>
        <color theme="1"/>
        <rFont val="Tahoma"/>
        <family val="2"/>
      </rPr>
      <t xml:space="preserve">
</t>
    </r>
    <r>
      <rPr>
        <sz val="11"/>
        <color theme="1"/>
        <rFont val="Tahoma"/>
        <family val="2"/>
      </rPr>
      <t xml:space="preserve"> 10kWh</t>
    </r>
    <r>
      <rPr>
        <b/>
        <sz val="11"/>
        <color theme="1"/>
        <rFont val="Tahoma"/>
        <family val="2"/>
      </rPr>
      <t xml:space="preserve"> 93.600</t>
    </r>
  </si>
  <si>
    <t xml:space="preserve"> Priser gjeldende til 30/04-24</t>
  </si>
  <si>
    <r>
      <t>Kraftpakker</t>
    </r>
    <r>
      <rPr>
        <i/>
        <sz val="12"/>
        <color theme="1"/>
        <rFont val="Tahoma"/>
        <family val="2"/>
      </rPr>
      <t xml:space="preserve"> Priser gjeldende til 30-04-24</t>
    </r>
  </si>
  <si>
    <r>
      <rPr>
        <i/>
        <sz val="10"/>
        <color theme="1"/>
        <rFont val="Tahoma"/>
        <family val="2"/>
      </rPr>
      <t>Pylontech  5,1kWh</t>
    </r>
    <r>
      <rPr>
        <b/>
        <sz val="11"/>
        <color theme="1"/>
        <rFont val="Tahoma"/>
        <family val="2"/>
      </rPr>
      <t xml:space="preserve">
55.200</t>
    </r>
  </si>
  <si>
    <t>Tilbudet omhandler kraftpakke med: 
- XXXXVA MultiPlus-ll den nyeste Victron inverter med meget lavt eget forbruk - ned til 3W
  Den innebyggede lader på  35/70A sikrer rask oppladning fra aggregat
- MPPT ladregulator fra solcelle til batteri tilpasset antall solceller i anlegget
- Solcellepanel "CSUN 410W full black" med certifikat - spesielt egnet ved delvis skygge 
  eller diffust lys
- XXXX batterier med mange cycles
- Victron SmartSchunt batteri-monitor - for kontroll av oppladning og batteriprocent via Smartphone 
- Kabel sett mellom enhetene i anlegget
Systemovervåkning kommer i tillegg</t>
  </si>
  <si>
    <t>Tilbudet inneholder: 
- Weishaupt WTC 15 Kondenserende gasskjele som utnytter energien 
  nesten 100%, og med innebygget sirkulasjonspumpe
- Sett med rør tilkobling 
- Pipe gjennom vegg eller over tak
Denne lille vegghengte gasskjele er et tysk kvalitetsprodukt - med mulighet for tilkobling til "Ring hytta varm" funksjonalitet</t>
  </si>
  <si>
    <t>Weishaupt WTC 15 kondenserende gasskjele m/varmtvanns prioritering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</si>
</sst>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.&quot;\ * #,##0.00_ ;_ &quot;kr.&quot;\ * \-#,##0.00_ ;_ &quot;kr.&quot;\ * &quot;-&quot;??_ ;_ @_ 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9C0006"/>
      <name val="Calibri"/>
      <family val="2"/>
      <scheme val="minor"/>
    </font>
    <font>
      <sz val="12"/>
      <color theme="1"/>
      <name val="Tahoma"/>
      <family val="2"/>
    </font>
    <font>
      <sz val="12"/>
      <name val="Tahoma"/>
      <family val="2"/>
    </font>
    <font>
      <sz val="12"/>
      <color rgb="FF000000"/>
      <name val="Tahoma"/>
      <family val="2"/>
    </font>
    <font>
      <b/>
      <sz val="18"/>
      <color theme="1"/>
      <name val="Tahoma"/>
      <family val="2"/>
    </font>
    <font>
      <i/>
      <sz val="11"/>
      <color theme="1"/>
      <name val="Tahoma"/>
      <family val="2"/>
    </font>
    <font>
      <sz val="11"/>
      <color theme="0"/>
      <name val="Tahoma"/>
      <family val="2"/>
    </font>
    <font>
      <b/>
      <sz val="16"/>
      <color theme="1"/>
      <name val="Tahoma"/>
      <family val="2"/>
    </font>
    <font>
      <sz val="8"/>
      <color theme="1"/>
      <name val="Tahoma"/>
      <family val="2"/>
    </font>
    <font>
      <i/>
      <sz val="12"/>
      <color theme="1"/>
      <name val="Tahoma"/>
      <family val="2"/>
    </font>
    <font>
      <sz val="11"/>
      <color rgb="FF9C0006"/>
      <name val="Tahoma"/>
      <family val="2"/>
    </font>
    <font>
      <sz val="11"/>
      <color rgb="FF222226"/>
      <name val="Tahoma"/>
      <family val="2"/>
    </font>
    <font>
      <i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66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4" fontId="3" fillId="0" borderId="7" xfId="0" applyNumberFormat="1" applyFont="1" applyBorder="1"/>
    <xf numFmtId="3" fontId="3" fillId="0" borderId="0" xfId="0" applyNumberFormat="1" applyFont="1"/>
    <xf numFmtId="0" fontId="3" fillId="0" borderId="1" xfId="0" applyFont="1" applyBorder="1"/>
    <xf numFmtId="0" fontId="5" fillId="0" borderId="2" xfId="0" applyFont="1" applyBorder="1"/>
    <xf numFmtId="0" fontId="5" fillId="0" borderId="0" xfId="0" applyFont="1"/>
    <xf numFmtId="0" fontId="3" fillId="0" borderId="3" xfId="0" applyFont="1" applyBorder="1"/>
    <xf numFmtId="0" fontId="5" fillId="0" borderId="4" xfId="0" applyFont="1" applyBorder="1"/>
    <xf numFmtId="0" fontId="3" fillId="0" borderId="5" xfId="0" applyFont="1" applyBorder="1"/>
    <xf numFmtId="0" fontId="5" fillId="0" borderId="6" xfId="0" applyFont="1" applyBorder="1"/>
    <xf numFmtId="4" fontId="3" fillId="0" borderId="0" xfId="1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3" fillId="0" borderId="0" xfId="1" applyNumberFormat="1" applyFont="1" applyBorder="1"/>
    <xf numFmtId="3" fontId="3" fillId="0" borderId="0" xfId="1" applyNumberFormat="1" applyFont="1"/>
    <xf numFmtId="4" fontId="3" fillId="0" borderId="0" xfId="1" applyNumberFormat="1" applyFont="1" applyBorder="1"/>
    <xf numFmtId="3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3" fontId="5" fillId="0" borderId="0" xfId="0" applyNumberFormat="1" applyFont="1"/>
    <xf numFmtId="4" fontId="5" fillId="0" borderId="0" xfId="0" applyNumberFormat="1" applyFont="1"/>
    <xf numFmtId="9" fontId="3" fillId="0" borderId="0" xfId="0" applyNumberFormat="1" applyFont="1"/>
    <xf numFmtId="4" fontId="3" fillId="0" borderId="0" xfId="1" applyNumberFormat="1" applyFont="1" applyFill="1"/>
    <xf numFmtId="3" fontId="3" fillId="0" borderId="0" xfId="1" applyNumberFormat="1" applyFont="1" applyFill="1"/>
    <xf numFmtId="0" fontId="5" fillId="0" borderId="0" xfId="0" applyFont="1" applyAlignment="1">
      <alignment horizontal="center" wrapText="1"/>
    </xf>
    <xf numFmtId="3" fontId="3" fillId="0" borderId="0" xfId="1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wrapText="1" indent="1"/>
    </xf>
    <xf numFmtId="3" fontId="3" fillId="0" borderId="0" xfId="0" applyNumberFormat="1" applyFont="1" applyAlignment="1">
      <alignment wrapText="1"/>
    </xf>
    <xf numFmtId="0" fontId="5" fillId="0" borderId="0" xfId="0" quotePrefix="1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9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4" fontId="3" fillId="0" borderId="7" xfId="0" applyNumberFormat="1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10" fillId="0" borderId="0" xfId="0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3" fontId="10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3" fontId="3" fillId="0" borderId="8" xfId="0" applyNumberFormat="1" applyFont="1" applyBorder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3" fontId="3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right" wrapText="1"/>
    </xf>
    <xf numFmtId="3" fontId="15" fillId="3" borderId="0" xfId="0" applyNumberFormat="1" applyFont="1" applyFill="1" applyAlignment="1">
      <alignment horizontal="right" vertical="center" wrapText="1"/>
    </xf>
    <xf numFmtId="9" fontId="3" fillId="0" borderId="8" xfId="0" applyNumberFormat="1" applyFont="1" applyBorder="1" applyAlignment="1">
      <alignment horizontal="right" indent="1"/>
    </xf>
    <xf numFmtId="9" fontId="3" fillId="0" borderId="15" xfId="0" applyNumberFormat="1" applyFont="1" applyBorder="1" applyAlignment="1">
      <alignment horizontal="right" indent="1"/>
    </xf>
    <xf numFmtId="0" fontId="14" fillId="0" borderId="0" xfId="0" applyFont="1"/>
    <xf numFmtId="0" fontId="10" fillId="0" borderId="0" xfId="0" applyFont="1" applyAlignment="1">
      <alignment horizontal="right" indent="1"/>
    </xf>
    <xf numFmtId="4" fontId="10" fillId="0" borderId="0" xfId="0" applyNumberFormat="1" applyFont="1"/>
    <xf numFmtId="3" fontId="3" fillId="0" borderId="0" xfId="1" applyNumberFormat="1" applyFont="1" applyFill="1" applyBorder="1"/>
    <xf numFmtId="9" fontId="3" fillId="0" borderId="0" xfId="0" applyNumberFormat="1" applyFont="1" applyAlignment="1">
      <alignment horizontal="right" indent="1"/>
    </xf>
    <xf numFmtId="3" fontId="5" fillId="0" borderId="0" xfId="1" applyNumberFormat="1" applyFont="1" applyFill="1" applyBorder="1"/>
    <xf numFmtId="3" fontId="3" fillId="0" borderId="7" xfId="0" applyNumberFormat="1" applyFont="1" applyBorder="1" applyAlignment="1">
      <alignment vertical="top"/>
    </xf>
    <xf numFmtId="3" fontId="15" fillId="3" borderId="0" xfId="0" applyNumberFormat="1" applyFont="1" applyFill="1" applyAlignment="1">
      <alignment vertical="center" wrapText="1"/>
    </xf>
    <xf numFmtId="3" fontId="3" fillId="0" borderId="10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8" xfId="0" applyNumberFormat="1" applyFont="1" applyBorder="1"/>
    <xf numFmtId="3" fontId="14" fillId="0" borderId="0" xfId="0" applyNumberFormat="1" applyFont="1"/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/>
    <xf numFmtId="3" fontId="3" fillId="0" borderId="16" xfId="1" applyNumberFormat="1" applyFont="1" applyBorder="1"/>
    <xf numFmtId="9" fontId="3" fillId="0" borderId="16" xfId="0" applyNumberFormat="1" applyFont="1" applyBorder="1"/>
    <xf numFmtId="0" fontId="3" fillId="0" borderId="16" xfId="0" applyFont="1" applyBorder="1"/>
    <xf numFmtId="0" fontId="5" fillId="0" borderId="16" xfId="0" applyFont="1" applyBorder="1" applyAlignment="1">
      <alignment vertical="center"/>
    </xf>
    <xf numFmtId="4" fontId="3" fillId="0" borderId="16" xfId="0" applyNumberFormat="1" applyFont="1" applyBorder="1"/>
    <xf numFmtId="0" fontId="7" fillId="0" borderId="0" xfId="0" applyFont="1"/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7" fillId="4" borderId="0" xfId="0" applyFont="1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5" fillId="4" borderId="0" xfId="0" quotePrefix="1" applyFont="1" applyFill="1" applyAlignment="1">
      <alignment vertical="center"/>
    </xf>
    <xf numFmtId="0" fontId="17" fillId="0" borderId="8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/>
    <xf numFmtId="0" fontId="14" fillId="0" borderId="0" xfId="0" applyFont="1" applyAlignment="1">
      <alignment horizontal="right"/>
    </xf>
    <xf numFmtId="4" fontId="3" fillId="0" borderId="0" xfId="1" applyNumberFormat="1" applyFont="1" applyFill="1" applyBorder="1"/>
    <xf numFmtId="0" fontId="5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0" fontId="5" fillId="0" borderId="16" xfId="0" applyFont="1" applyBorder="1"/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3" fontId="3" fillId="0" borderId="0" xfId="0" applyNumberFormat="1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3" fillId="0" borderId="15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14" fillId="0" borderId="0" xfId="1" applyNumberFormat="1" applyFont="1" applyAlignment="1">
      <alignment horizontal="center" wrapText="1"/>
    </xf>
    <xf numFmtId="3" fontId="14" fillId="0" borderId="0" xfId="0" applyNumberFormat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horizontal="right" inden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9" fontId="3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wrapText="1"/>
    </xf>
    <xf numFmtId="0" fontId="4" fillId="0" borderId="16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5" fillId="0" borderId="0" xfId="0" applyFont="1" applyFill="1"/>
    <xf numFmtId="49" fontId="3" fillId="0" borderId="0" xfId="0" applyNumberFormat="1" applyFont="1"/>
    <xf numFmtId="49" fontId="3" fillId="0" borderId="0" xfId="0" applyNumberFormat="1" applyFont="1" applyBorder="1"/>
    <xf numFmtId="9" fontId="3" fillId="0" borderId="8" xfId="0" applyNumberFormat="1" applyFont="1" applyFill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0" fontId="3" fillId="0" borderId="3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9" xfId="0" applyFont="1" applyBorder="1"/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/>
    <xf numFmtId="0" fontId="3" fillId="0" borderId="6" xfId="0" applyFont="1" applyBorder="1" applyAlignment="1">
      <alignment horizontal="left" wrapText="1"/>
    </xf>
    <xf numFmtId="0" fontId="3" fillId="0" borderId="10" xfId="0" applyFont="1" applyBorder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9" fontId="3" fillId="0" borderId="13" xfId="0" applyNumberFormat="1" applyFont="1" applyBorder="1" applyAlignment="1">
      <alignment horizontal="right" indent="1"/>
    </xf>
    <xf numFmtId="0" fontId="3" fillId="0" borderId="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right" indent="1"/>
    </xf>
    <xf numFmtId="3" fontId="19" fillId="2" borderId="0" xfId="2" applyNumberFormat="1" applyFont="1" applyAlignment="1">
      <alignment horizontal="center" vertical="center" textRotation="9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right" vertical="center" indent="1"/>
    </xf>
    <xf numFmtId="3" fontId="14" fillId="0" borderId="14" xfId="0" applyNumberFormat="1" applyFont="1" applyBorder="1" applyAlignment="1">
      <alignment horizontal="right" vertical="center" indent="1"/>
    </xf>
    <xf numFmtId="3" fontId="14" fillId="0" borderId="15" xfId="0" applyNumberFormat="1" applyFont="1" applyBorder="1" applyAlignment="1">
      <alignment horizontal="right" vertical="center" indent="1"/>
    </xf>
    <xf numFmtId="3" fontId="4" fillId="0" borderId="14" xfId="0" applyNumberFormat="1" applyFont="1" applyBorder="1" applyAlignment="1">
      <alignment horizontal="right" vertical="center" inden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0" fillId="0" borderId="0" xfId="0" applyFont="1" applyAlignment="1">
      <alignment horizontal="right"/>
    </xf>
    <xf numFmtId="3" fontId="3" fillId="0" borderId="9" xfId="0" applyNumberFormat="1" applyFont="1" applyBorder="1"/>
    <xf numFmtId="0" fontId="3" fillId="0" borderId="15" xfId="0" applyFont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center" indent="1"/>
    </xf>
    <xf numFmtId="0" fontId="3" fillId="0" borderId="5" xfId="0" applyFont="1" applyBorder="1" applyAlignment="1">
      <alignment horizontal="left" vertical="top" wrapText="1"/>
    </xf>
  </cellXfs>
  <cellStyles count="3">
    <cellStyle name="Normal" xfId="0" builtinId="0"/>
    <cellStyle name="Ugyldig" xfId="2" builtinId="27"/>
    <cellStyle name="Valuta" xfId="1" builtinId="4"/>
  </cellStyles>
  <dxfs count="0"/>
  <tableStyles count="0" defaultTableStyle="TableStyleMedium2" defaultPivotStyle="PivotStyleLight16"/>
  <colors>
    <mruColors>
      <color rgb="FF336600"/>
      <color rgb="FF004C22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9525</xdr:rowOff>
    </xdr:from>
    <xdr:to>
      <xdr:col>2</xdr:col>
      <xdr:colOff>276745</xdr:colOff>
      <xdr:row>2</xdr:row>
      <xdr:rowOff>50742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9525"/>
          <a:ext cx="2448445" cy="403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3114675</xdr:colOff>
      <xdr:row>0</xdr:row>
      <xdr:rowOff>9525</xdr:rowOff>
    </xdr:from>
    <xdr:to>
      <xdr:col>3</xdr:col>
      <xdr:colOff>467245</xdr:colOff>
      <xdr:row>2</xdr:row>
      <xdr:rowOff>50742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9525"/>
          <a:ext cx="2562745" cy="403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2762250</xdr:colOff>
      <xdr:row>66</xdr:row>
      <xdr:rowOff>0</xdr:rowOff>
    </xdr:from>
    <xdr:ext cx="184731" cy="264560"/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276225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66</xdr:row>
      <xdr:rowOff>0</xdr:rowOff>
    </xdr:from>
    <xdr:ext cx="184731" cy="264560"/>
    <xdr:sp macro="" textlink="">
      <xdr:nvSpPr>
        <xdr:cNvPr id="6" name="Tekstfelt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276225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93</xdr:row>
      <xdr:rowOff>0</xdr:rowOff>
    </xdr:from>
    <xdr:ext cx="184731" cy="264560"/>
    <xdr:sp macro="" textlink="">
      <xdr:nvSpPr>
        <xdr:cNvPr id="9" name="Tekstfelt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2762250" y="147279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102</xdr:row>
      <xdr:rowOff>0</xdr:rowOff>
    </xdr:from>
    <xdr:ext cx="184731" cy="264560"/>
    <xdr:sp macro="" textlink="">
      <xdr:nvSpPr>
        <xdr:cNvPr id="10" name="Tekstfelt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2762250" y="145435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86</xdr:row>
      <xdr:rowOff>0</xdr:rowOff>
    </xdr:from>
    <xdr:ext cx="184731" cy="264560"/>
    <xdr:sp macro="" textlink="">
      <xdr:nvSpPr>
        <xdr:cNvPr id="11" name="Tekstfelt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/>
      </xdr:nvSpPr>
      <xdr:spPr>
        <a:xfrm>
          <a:off x="2762250" y="147279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86</xdr:row>
      <xdr:rowOff>0</xdr:rowOff>
    </xdr:from>
    <xdr:ext cx="184731" cy="264560"/>
    <xdr:sp macro="" textlink="">
      <xdr:nvSpPr>
        <xdr:cNvPr id="12" name="Tekstfelt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>
        <a:xfrm>
          <a:off x="2762250" y="145435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96</xdr:row>
      <xdr:rowOff>0</xdr:rowOff>
    </xdr:from>
    <xdr:ext cx="184731" cy="264560"/>
    <xdr:sp macro="" textlink="">
      <xdr:nvSpPr>
        <xdr:cNvPr id="13" name="Tekstfelt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/>
      </xdr:nvSpPr>
      <xdr:spPr>
        <a:xfrm>
          <a:off x="2762250" y="1423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96</xdr:row>
      <xdr:rowOff>0</xdr:rowOff>
    </xdr:from>
    <xdr:ext cx="184731" cy="264560"/>
    <xdr:sp macro="" textlink="">
      <xdr:nvSpPr>
        <xdr:cNvPr id="14" name="Tekstfelt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/>
      </xdr:nvSpPr>
      <xdr:spPr>
        <a:xfrm>
          <a:off x="2762250" y="1423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2714625</xdr:colOff>
      <xdr:row>102</xdr:row>
      <xdr:rowOff>152400</xdr:rowOff>
    </xdr:from>
    <xdr:ext cx="184731" cy="264560"/>
    <xdr:sp macro="" textlink="">
      <xdr:nvSpPr>
        <xdr:cNvPr id="15" name="Tekstfelt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/>
      </xdr:nvSpPr>
      <xdr:spPr>
        <a:xfrm>
          <a:off x="2714625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2762250</xdr:colOff>
      <xdr:row>104</xdr:row>
      <xdr:rowOff>0</xdr:rowOff>
    </xdr:from>
    <xdr:ext cx="184731" cy="264560"/>
    <xdr:sp macro="" textlink="">
      <xdr:nvSpPr>
        <xdr:cNvPr id="16" name="Tekstfelt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/>
      </xdr:nvSpPr>
      <xdr:spPr>
        <a:xfrm>
          <a:off x="2762250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 editAs="oneCell">
    <xdr:from>
      <xdr:col>0</xdr:col>
      <xdr:colOff>125872</xdr:colOff>
      <xdr:row>0</xdr:row>
      <xdr:rowOff>61451</xdr:rowOff>
    </xdr:from>
    <xdr:to>
      <xdr:col>0</xdr:col>
      <xdr:colOff>2593674</xdr:colOff>
      <xdr:row>2</xdr:row>
      <xdr:rowOff>31897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72" y="61451"/>
          <a:ext cx="2467802" cy="400607"/>
        </a:xfrm>
        <a:prstGeom prst="rect">
          <a:avLst/>
        </a:prstGeom>
      </xdr:spPr>
    </xdr:pic>
    <xdr:clientData/>
  </xdr:twoCellAnchor>
  <xdr:twoCellAnchor editAs="oneCell">
    <xdr:from>
      <xdr:col>0</xdr:col>
      <xdr:colOff>4192126</xdr:colOff>
      <xdr:row>57</xdr:row>
      <xdr:rowOff>81115</xdr:rowOff>
    </xdr:from>
    <xdr:to>
      <xdr:col>4</xdr:col>
      <xdr:colOff>780852</xdr:colOff>
      <xdr:row>59</xdr:row>
      <xdr:rowOff>21653</xdr:rowOff>
    </xdr:to>
    <xdr:pic>
      <xdr:nvPicPr>
        <xdr:cNvPr id="17" name="Billed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2126" y="9513938"/>
          <a:ext cx="2692920" cy="411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3</xdr:col>
      <xdr:colOff>1457845</xdr:colOff>
      <xdr:row>2</xdr:row>
      <xdr:rowOff>22167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0"/>
          <a:ext cx="2543695" cy="403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3000375</xdr:colOff>
      <xdr:row>0</xdr:row>
      <xdr:rowOff>0</xdr:rowOff>
    </xdr:from>
    <xdr:to>
      <xdr:col>3</xdr:col>
      <xdr:colOff>829195</xdr:colOff>
      <xdr:row>2</xdr:row>
      <xdr:rowOff>41217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0"/>
          <a:ext cx="2562745" cy="40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filterMode="1"/>
  <dimension ref="A1:U73"/>
  <sheetViews>
    <sheetView topLeftCell="A37" zoomScale="118" zoomScaleNormal="118" workbookViewId="0">
      <selection activeCell="E59" sqref="E59"/>
    </sheetView>
  </sheetViews>
  <sheetFormatPr defaultColWidth="9.140625" defaultRowHeight="15" customHeight="1" x14ac:dyDescent="0.2"/>
  <cols>
    <col min="1" max="1" width="8.140625" style="161" customWidth="1"/>
    <col min="2" max="2" width="7.7109375" style="1" customWidth="1"/>
    <col min="3" max="3" width="67.42578125" style="1" customWidth="1"/>
    <col min="4" max="4" width="5.7109375" style="11" customWidth="1"/>
    <col min="5" max="5" width="8.5703125" style="8" customWidth="1"/>
    <col min="6" max="6" width="7.7109375" style="11" customWidth="1"/>
    <col min="7" max="7" width="9.42578125" style="20" customWidth="1"/>
    <col min="8" max="8" width="9.7109375" style="8" customWidth="1"/>
    <col min="9" max="9" width="6.42578125" style="8" customWidth="1"/>
    <col min="10" max="10" width="8.5703125" style="8" customWidth="1"/>
    <col min="11" max="11" width="8.85546875" style="4" customWidth="1"/>
    <col min="12" max="12" width="11.140625" style="97" customWidth="1"/>
    <col min="13" max="13" width="9.28515625" style="8" customWidth="1"/>
    <col min="14" max="14" width="8.7109375" style="8" customWidth="1"/>
    <col min="15" max="15" width="10.85546875" style="8" customWidth="1"/>
    <col min="16" max="16" width="13.28515625" style="8" customWidth="1"/>
    <col min="17" max="17" width="12" style="8" customWidth="1"/>
    <col min="18" max="18" width="7.140625" style="1" customWidth="1"/>
    <col min="19" max="19" width="12.85546875" style="8" customWidth="1"/>
    <col min="20" max="20" width="12.42578125" style="8" customWidth="1"/>
    <col min="21" max="21" width="12.140625" style="8" customWidth="1"/>
    <col min="22" max="16384" width="9.140625" style="1"/>
  </cols>
  <sheetData>
    <row r="1" spans="1:21" ht="15" customHeight="1" x14ac:dyDescent="0.2">
      <c r="C1" s="9" t="s">
        <v>0</v>
      </c>
      <c r="D1" s="10"/>
      <c r="G1" s="21"/>
    </row>
    <row r="2" spans="1:21" ht="15" customHeight="1" x14ac:dyDescent="0.2">
      <c r="C2" s="12" t="s">
        <v>4</v>
      </c>
      <c r="D2" s="13">
        <v>1.56</v>
      </c>
      <c r="G2" s="21"/>
    </row>
    <row r="3" spans="1:21" ht="15" customHeight="1" x14ac:dyDescent="0.2">
      <c r="C3" s="12" t="s">
        <v>1</v>
      </c>
      <c r="D3" s="13">
        <v>1.75</v>
      </c>
      <c r="E3" s="181" t="s">
        <v>43</v>
      </c>
      <c r="G3" s="21"/>
    </row>
    <row r="4" spans="1:21" ht="15" customHeight="1" x14ac:dyDescent="0.2">
      <c r="C4" s="12" t="s">
        <v>2</v>
      </c>
      <c r="D4" s="13">
        <v>0</v>
      </c>
      <c r="E4" s="181"/>
      <c r="G4" s="21"/>
    </row>
    <row r="5" spans="1:21" ht="15" customHeight="1" x14ac:dyDescent="0.2">
      <c r="C5" s="12" t="s">
        <v>3</v>
      </c>
      <c r="D5" s="13">
        <v>0.25</v>
      </c>
      <c r="E5" s="181"/>
      <c r="G5" s="21"/>
    </row>
    <row r="6" spans="1:21" ht="15" customHeight="1" x14ac:dyDescent="0.2">
      <c r="C6" s="14" t="s">
        <v>91</v>
      </c>
      <c r="D6" s="15">
        <v>11.49</v>
      </c>
      <c r="E6" s="181"/>
      <c r="G6" s="21"/>
    </row>
    <row r="7" spans="1:21" ht="15" customHeight="1" x14ac:dyDescent="0.2">
      <c r="E7" s="181"/>
      <c r="G7" s="21"/>
    </row>
    <row r="8" spans="1:21" ht="15" customHeight="1" x14ac:dyDescent="0.2">
      <c r="A8" s="161" t="s">
        <v>65</v>
      </c>
      <c r="B8" s="1" t="s">
        <v>17</v>
      </c>
      <c r="C8" s="1" t="s">
        <v>6</v>
      </c>
      <c r="D8" s="11" t="s">
        <v>5</v>
      </c>
      <c r="E8" s="181"/>
      <c r="F8" s="32" t="s">
        <v>32</v>
      </c>
      <c r="G8" s="33" t="s">
        <v>31</v>
      </c>
      <c r="H8" s="33" t="s">
        <v>30</v>
      </c>
      <c r="I8" s="34" t="s">
        <v>23</v>
      </c>
      <c r="J8" s="34" t="s">
        <v>24</v>
      </c>
      <c r="K8" s="35" t="s">
        <v>25</v>
      </c>
      <c r="L8" s="139" t="s">
        <v>26</v>
      </c>
      <c r="M8" s="34" t="s">
        <v>27</v>
      </c>
      <c r="N8" s="36" t="s">
        <v>18</v>
      </c>
      <c r="O8" s="34" t="s">
        <v>19</v>
      </c>
      <c r="P8" s="34" t="s">
        <v>20</v>
      </c>
      <c r="Q8" s="34" t="s">
        <v>28</v>
      </c>
      <c r="R8" s="2" t="s">
        <v>21</v>
      </c>
      <c r="S8" s="34" t="s">
        <v>22</v>
      </c>
      <c r="T8" s="34" t="s">
        <v>29</v>
      </c>
      <c r="U8" s="34" t="s">
        <v>128</v>
      </c>
    </row>
    <row r="9" spans="1:21" ht="15" customHeight="1" x14ac:dyDescent="0.2">
      <c r="A9" s="1"/>
      <c r="B9" s="1" t="s">
        <v>12</v>
      </c>
      <c r="C9" s="1" t="s">
        <v>112</v>
      </c>
      <c r="D9" s="19"/>
      <c r="E9" s="8">
        <f t="shared" ref="E9:E56" si="0">O9</f>
        <v>8034.375</v>
      </c>
      <c r="F9" s="16"/>
      <c r="G9" s="21"/>
      <c r="H9" s="21">
        <v>4285</v>
      </c>
      <c r="J9" s="8">
        <f>H9+I9</f>
        <v>4285</v>
      </c>
      <c r="K9" s="4">
        <v>0.5</v>
      </c>
      <c r="L9" s="8">
        <f>J9*K9</f>
        <v>2142.5</v>
      </c>
      <c r="M9" s="8">
        <f>J9+L9</f>
        <v>6427.5</v>
      </c>
      <c r="N9" s="8">
        <f>M9*0.25</f>
        <v>1606.875</v>
      </c>
      <c r="O9" s="8">
        <f>M9+N9</f>
        <v>8034.375</v>
      </c>
      <c r="P9" s="8">
        <f t="shared" ref="P9:P51" si="1">O9*D9</f>
        <v>0</v>
      </c>
      <c r="Q9" s="8">
        <f t="shared" ref="Q9:Q51" si="2">(M9-J9)*D9</f>
        <v>0</v>
      </c>
      <c r="R9" s="29">
        <v>0.05</v>
      </c>
      <c r="S9" s="8">
        <f>P9*R9</f>
        <v>0</v>
      </c>
      <c r="T9" s="8">
        <f>Q9-S9</f>
        <v>0</v>
      </c>
      <c r="U9" s="8">
        <f>P9-S9</f>
        <v>0</v>
      </c>
    </row>
    <row r="10" spans="1:21" ht="15" customHeight="1" x14ac:dyDescent="0.2">
      <c r="A10" s="1"/>
      <c r="B10" s="1" t="s">
        <v>12</v>
      </c>
      <c r="C10" s="1" t="s">
        <v>87</v>
      </c>
      <c r="D10" s="19"/>
      <c r="E10" s="8">
        <f>O10</f>
        <v>3912.4375000000005</v>
      </c>
      <c r="F10" s="16">
        <v>127.5</v>
      </c>
      <c r="G10" s="21"/>
      <c r="H10" s="21">
        <f>F10*$D$6</f>
        <v>1464.9750000000001</v>
      </c>
      <c r="I10" s="8">
        <v>100</v>
      </c>
      <c r="J10" s="8">
        <f>H10+I10</f>
        <v>1564.9750000000001</v>
      </c>
      <c r="K10" s="4">
        <v>1</v>
      </c>
      <c r="L10" s="8">
        <f>J10*K10</f>
        <v>1564.9750000000001</v>
      </c>
      <c r="M10" s="8">
        <f>J10+L10</f>
        <v>3129.9500000000003</v>
      </c>
      <c r="N10" s="8">
        <f>M10*0.25</f>
        <v>782.48750000000007</v>
      </c>
      <c r="O10" s="8">
        <f>M10+N10</f>
        <v>3912.4375000000005</v>
      </c>
      <c r="P10" s="8">
        <f t="shared" ref="P10" si="3">O10*D10</f>
        <v>0</v>
      </c>
      <c r="Q10" s="8">
        <f t="shared" ref="Q10" si="4">(M10-J10)*D10</f>
        <v>0</v>
      </c>
      <c r="R10" s="29">
        <v>0.05</v>
      </c>
      <c r="S10" s="8">
        <f t="shared" ref="S10" si="5">P10*R10</f>
        <v>0</v>
      </c>
      <c r="T10" s="8">
        <f>Q10-S10</f>
        <v>0</v>
      </c>
      <c r="U10" s="8">
        <f>P10-S10</f>
        <v>0</v>
      </c>
    </row>
    <row r="11" spans="1:21" ht="15" customHeight="1" x14ac:dyDescent="0.2">
      <c r="B11" s="1" t="s">
        <v>12</v>
      </c>
      <c r="C11" s="1" t="s">
        <v>89</v>
      </c>
      <c r="D11" s="19"/>
      <c r="E11" s="8">
        <f t="shared" si="0"/>
        <v>3718.75</v>
      </c>
      <c r="F11" s="16"/>
      <c r="G11" s="21"/>
      <c r="H11" s="21">
        <v>1190</v>
      </c>
      <c r="I11" s="8">
        <v>0</v>
      </c>
      <c r="J11" s="8">
        <f t="shared" ref="J11" si="6">H11+I11</f>
        <v>1190</v>
      </c>
      <c r="K11" s="4">
        <v>1.5</v>
      </c>
      <c r="L11" s="97">
        <f t="shared" ref="L11" si="7">J11*K11</f>
        <v>1785</v>
      </c>
      <c r="M11" s="8">
        <f t="shared" ref="M11" si="8">J11+L11</f>
        <v>2975</v>
      </c>
      <c r="N11" s="8">
        <f t="shared" ref="N11" si="9">M11*0.25</f>
        <v>743.75</v>
      </c>
      <c r="O11" s="8">
        <f t="shared" ref="O11" si="10">M11+N11</f>
        <v>3718.75</v>
      </c>
      <c r="P11" s="8">
        <f t="shared" si="1"/>
        <v>0</v>
      </c>
      <c r="Q11" s="8">
        <f>(M11-J11)*D11</f>
        <v>0</v>
      </c>
      <c r="R11" s="29">
        <v>0.05</v>
      </c>
      <c r="S11" s="8">
        <f t="shared" ref="S11" si="11">P11*R11</f>
        <v>0</v>
      </c>
      <c r="T11" s="8">
        <f t="shared" ref="T11" si="12">Q11-S11</f>
        <v>0</v>
      </c>
      <c r="U11" s="8">
        <f t="shared" ref="U11" si="13">P11-S11</f>
        <v>0</v>
      </c>
    </row>
    <row r="12" spans="1:21" ht="15" customHeight="1" x14ac:dyDescent="0.2">
      <c r="A12" s="1"/>
      <c r="B12" s="1" t="s">
        <v>12</v>
      </c>
      <c r="C12" s="1" t="s">
        <v>90</v>
      </c>
      <c r="D12" s="19"/>
      <c r="E12" s="8">
        <f t="shared" si="0"/>
        <v>4268.75</v>
      </c>
      <c r="F12" s="16"/>
      <c r="G12" s="21" t="s">
        <v>88</v>
      </c>
      <c r="H12" s="21">
        <v>1366</v>
      </c>
      <c r="I12" s="8">
        <v>0</v>
      </c>
      <c r="J12" s="8">
        <f t="shared" ref="J12:J40" si="14">H12+I12</f>
        <v>1366</v>
      </c>
      <c r="K12" s="4">
        <v>1.5</v>
      </c>
      <c r="L12" s="8">
        <f t="shared" ref="L12:L40" si="15">J12*K12</f>
        <v>2049</v>
      </c>
      <c r="M12" s="8">
        <f t="shared" ref="M12:M40" si="16">J12+L12</f>
        <v>3415</v>
      </c>
      <c r="N12" s="8">
        <f t="shared" ref="N12:N40" si="17">M12*0.25</f>
        <v>853.75</v>
      </c>
      <c r="O12" s="8">
        <f t="shared" ref="O12:O40" si="18">M12+N12</f>
        <v>4268.75</v>
      </c>
      <c r="P12" s="8">
        <f t="shared" si="1"/>
        <v>0</v>
      </c>
      <c r="Q12" s="8">
        <f t="shared" si="2"/>
        <v>0</v>
      </c>
      <c r="R12" s="29">
        <v>0</v>
      </c>
      <c r="S12" s="8">
        <f t="shared" ref="S12:S51" si="19">P12*R12</f>
        <v>0</v>
      </c>
      <c r="T12" s="8">
        <f t="shared" ref="T12:T51" si="20">Q12-S12</f>
        <v>0</v>
      </c>
      <c r="U12" s="8">
        <f t="shared" ref="U12:U51" si="21">P12-S12</f>
        <v>0</v>
      </c>
    </row>
    <row r="13" spans="1:21" ht="15" customHeight="1" x14ac:dyDescent="0.2">
      <c r="A13" s="1"/>
      <c r="B13" s="1" t="s">
        <v>14</v>
      </c>
      <c r="C13" s="1" t="s">
        <v>51</v>
      </c>
      <c r="D13" s="19"/>
      <c r="E13" s="8">
        <f t="shared" si="0"/>
        <v>7387.9750000000004</v>
      </c>
      <c r="F13" s="16"/>
      <c r="G13" s="21"/>
      <c r="H13" s="21">
        <v>3500</v>
      </c>
      <c r="I13" s="8">
        <v>126</v>
      </c>
      <c r="J13" s="8">
        <f t="shared" ref="J13" si="22">H13+I13</f>
        <v>3626</v>
      </c>
      <c r="K13" s="4">
        <v>0.63</v>
      </c>
      <c r="L13" s="8">
        <f t="shared" ref="L13" si="23">J13*K13</f>
        <v>2284.38</v>
      </c>
      <c r="M13" s="8">
        <f t="shared" ref="M13" si="24">J13+L13</f>
        <v>5910.38</v>
      </c>
      <c r="N13" s="8">
        <f t="shared" ref="N13" si="25">M13*0.25</f>
        <v>1477.595</v>
      </c>
      <c r="O13" s="8">
        <f t="shared" ref="O13" si="26">M13+N13</f>
        <v>7387.9750000000004</v>
      </c>
      <c r="P13" s="8">
        <f t="shared" si="1"/>
        <v>0</v>
      </c>
      <c r="Q13" s="8">
        <f t="shared" si="2"/>
        <v>0</v>
      </c>
      <c r="R13" s="29">
        <v>0.05</v>
      </c>
      <c r="S13" s="8">
        <f t="shared" si="19"/>
        <v>0</v>
      </c>
      <c r="T13" s="8">
        <f t="shared" ref="T13" si="27">Q13-S13</f>
        <v>0</v>
      </c>
      <c r="U13" s="8">
        <f t="shared" ref="U13" si="28">P13-S13</f>
        <v>0</v>
      </c>
    </row>
    <row r="14" spans="1:21" ht="15" hidden="1" customHeight="1" x14ac:dyDescent="0.2">
      <c r="A14" s="1">
        <v>1</v>
      </c>
      <c r="B14" s="1" t="s">
        <v>14</v>
      </c>
      <c r="C14" s="1" t="s">
        <v>113</v>
      </c>
      <c r="D14" s="19"/>
      <c r="E14" s="8">
        <f t="shared" si="0"/>
        <v>6988.6044375000001</v>
      </c>
      <c r="F14" s="30">
        <v>161.5</v>
      </c>
      <c r="G14" s="31">
        <f>F14*$D$6</f>
        <v>1855.635</v>
      </c>
      <c r="H14" s="31">
        <f>G14*$D$2</f>
        <v>2894.7906000000003</v>
      </c>
      <c r="I14" s="8">
        <v>300</v>
      </c>
      <c r="J14" s="8">
        <f t="shared" si="14"/>
        <v>3194.7906000000003</v>
      </c>
      <c r="K14" s="4">
        <v>0.75</v>
      </c>
      <c r="L14" s="8">
        <f t="shared" si="15"/>
        <v>2396.0929500000002</v>
      </c>
      <c r="M14" s="8">
        <f t="shared" si="16"/>
        <v>5590.8835500000005</v>
      </c>
      <c r="N14" s="8">
        <f t="shared" si="17"/>
        <v>1397.7208875000001</v>
      </c>
      <c r="O14" s="8">
        <f t="shared" si="18"/>
        <v>6988.6044375000001</v>
      </c>
      <c r="P14" s="8">
        <f t="shared" si="1"/>
        <v>0</v>
      </c>
      <c r="Q14" s="8">
        <f t="shared" si="2"/>
        <v>0</v>
      </c>
      <c r="R14" s="29">
        <v>0</v>
      </c>
      <c r="S14" s="8">
        <f t="shared" si="19"/>
        <v>0</v>
      </c>
      <c r="T14" s="8">
        <f t="shared" si="20"/>
        <v>0</v>
      </c>
      <c r="U14" s="8">
        <f t="shared" si="21"/>
        <v>0</v>
      </c>
    </row>
    <row r="15" spans="1:21" ht="15" hidden="1" customHeight="1" x14ac:dyDescent="0.2">
      <c r="A15" s="1">
        <v>1</v>
      </c>
      <c r="B15" s="1" t="s">
        <v>14</v>
      </c>
      <c r="C15" s="1" t="s">
        <v>114</v>
      </c>
      <c r="E15" s="8">
        <f t="shared" si="0"/>
        <v>13360.1685</v>
      </c>
      <c r="F15" s="1">
        <v>324</v>
      </c>
      <c r="G15" s="31">
        <f>F15*$D$6</f>
        <v>3722.76</v>
      </c>
      <c r="H15" s="31">
        <f>G15*$D$2</f>
        <v>5807.5056000000004</v>
      </c>
      <c r="I15" s="8">
        <v>300</v>
      </c>
      <c r="J15" s="8">
        <f>H15+I15</f>
        <v>6107.5056000000004</v>
      </c>
      <c r="K15" s="4">
        <v>0.75</v>
      </c>
      <c r="L15" s="8">
        <f t="shared" si="15"/>
        <v>4580.6292000000003</v>
      </c>
      <c r="M15" s="8">
        <f t="shared" si="16"/>
        <v>10688.1348</v>
      </c>
      <c r="N15" s="8">
        <f t="shared" si="17"/>
        <v>2672.0337</v>
      </c>
      <c r="O15" s="8">
        <f t="shared" si="18"/>
        <v>13360.1685</v>
      </c>
      <c r="P15" s="8">
        <f t="shared" si="1"/>
        <v>0</v>
      </c>
      <c r="Q15" s="8">
        <f t="shared" si="2"/>
        <v>0</v>
      </c>
      <c r="R15" s="29">
        <v>0.1</v>
      </c>
      <c r="S15" s="8">
        <f t="shared" si="19"/>
        <v>0</v>
      </c>
      <c r="T15" s="8">
        <f t="shared" si="20"/>
        <v>0</v>
      </c>
      <c r="U15" s="8">
        <f t="shared" si="21"/>
        <v>0</v>
      </c>
    </row>
    <row r="16" spans="1:21" ht="15" customHeight="1" x14ac:dyDescent="0.2">
      <c r="A16" s="1"/>
      <c r="B16" s="1" t="s">
        <v>14</v>
      </c>
      <c r="C16" s="1" t="s">
        <v>115</v>
      </c>
      <c r="D16" s="19"/>
      <c r="E16" s="8">
        <f t="shared" si="0"/>
        <v>43978.724999999991</v>
      </c>
      <c r="F16" s="1"/>
      <c r="G16" s="21">
        <v>0</v>
      </c>
      <c r="H16" s="21">
        <v>23934</v>
      </c>
      <c r="J16" s="8">
        <f t="shared" ref="J16" si="29">H16+I16</f>
        <v>23934</v>
      </c>
      <c r="K16" s="28">
        <v>0.47</v>
      </c>
      <c r="L16" s="8">
        <f t="shared" ref="L16" si="30">J16*K16</f>
        <v>11248.98</v>
      </c>
      <c r="M16" s="8">
        <f t="shared" ref="M16" si="31">J16+L16</f>
        <v>35182.979999999996</v>
      </c>
      <c r="N16" s="8">
        <f t="shared" ref="N16" si="32">M16*0.25</f>
        <v>8795.744999999999</v>
      </c>
      <c r="O16" s="27">
        <f t="shared" ref="O16" si="33">M16+N16</f>
        <v>43978.724999999991</v>
      </c>
      <c r="P16" s="8">
        <f t="shared" si="1"/>
        <v>0</v>
      </c>
      <c r="Q16" s="8">
        <f t="shared" si="2"/>
        <v>0</v>
      </c>
      <c r="R16" s="29">
        <v>0.05</v>
      </c>
      <c r="S16" s="8">
        <f t="shared" si="19"/>
        <v>0</v>
      </c>
      <c r="T16" s="8">
        <f t="shared" si="20"/>
        <v>0</v>
      </c>
      <c r="U16" s="8">
        <f t="shared" si="21"/>
        <v>0</v>
      </c>
    </row>
    <row r="17" spans="1:21" ht="15" customHeight="1" x14ac:dyDescent="0.2">
      <c r="A17" s="1"/>
      <c r="B17" s="1" t="s">
        <v>14</v>
      </c>
      <c r="C17" s="11" t="s">
        <v>116</v>
      </c>
      <c r="D17" s="19"/>
      <c r="E17" s="8">
        <f t="shared" ref="E17" si="34">O17</f>
        <v>28738.5</v>
      </c>
      <c r="F17" s="1"/>
      <c r="G17" s="21">
        <v>0</v>
      </c>
      <c r="H17" s="21">
        <v>15640</v>
      </c>
      <c r="I17" s="8">
        <v>0</v>
      </c>
      <c r="J17" s="8">
        <f t="shared" ref="J17" si="35">H17+I17</f>
        <v>15640</v>
      </c>
      <c r="K17" s="28">
        <v>0.47</v>
      </c>
      <c r="L17" s="8">
        <f t="shared" ref="L17" si="36">J17*K17</f>
        <v>7350.7999999999993</v>
      </c>
      <c r="M17" s="8">
        <f t="shared" ref="M17" si="37">J17+L17</f>
        <v>22990.799999999999</v>
      </c>
      <c r="N17" s="8">
        <f t="shared" ref="N17" si="38">M17*0.25</f>
        <v>5747.7</v>
      </c>
      <c r="O17" s="27">
        <f t="shared" ref="O17" si="39">M17+N17</f>
        <v>28738.5</v>
      </c>
      <c r="P17" s="8">
        <f t="shared" si="1"/>
        <v>0</v>
      </c>
      <c r="Q17" s="8">
        <f t="shared" si="2"/>
        <v>0</v>
      </c>
      <c r="R17" s="29">
        <v>0.05</v>
      </c>
      <c r="S17" s="8">
        <f t="shared" ref="S17" si="40">P17*R17</f>
        <v>0</v>
      </c>
      <c r="T17" s="8">
        <f t="shared" ref="T17" si="41">Q17-S17</f>
        <v>0</v>
      </c>
      <c r="U17" s="8">
        <f t="shared" ref="U17" si="42">P17-S17</f>
        <v>0</v>
      </c>
    </row>
    <row r="18" spans="1:21" ht="15" customHeight="1" x14ac:dyDescent="0.2">
      <c r="B18" s="1" t="s">
        <v>14</v>
      </c>
      <c r="C18" s="1" t="s">
        <v>111</v>
      </c>
      <c r="D18" s="19"/>
      <c r="E18" s="8">
        <f>O18</f>
        <v>31546.5625</v>
      </c>
      <c r="F18" s="1"/>
      <c r="G18" s="21"/>
      <c r="H18" s="21">
        <v>17405</v>
      </c>
      <c r="I18" s="8">
        <v>0</v>
      </c>
      <c r="J18" s="8">
        <f>H18+I18</f>
        <v>17405</v>
      </c>
      <c r="K18" s="28">
        <v>0.45</v>
      </c>
      <c r="L18" s="97">
        <f>J18*K18</f>
        <v>7832.25</v>
      </c>
      <c r="M18" s="8">
        <f>J18+L18</f>
        <v>25237.25</v>
      </c>
      <c r="N18" s="8">
        <f>M18*0.25</f>
        <v>6309.3125</v>
      </c>
      <c r="O18" s="27">
        <f>M18+N18</f>
        <v>31546.5625</v>
      </c>
      <c r="P18" s="8">
        <f>O18*D18</f>
        <v>0</v>
      </c>
      <c r="Q18" s="8">
        <f>(M18-J18)*D18</f>
        <v>0</v>
      </c>
      <c r="R18" s="29">
        <v>0.05</v>
      </c>
      <c r="S18" s="8">
        <f>P18*R18</f>
        <v>0</v>
      </c>
      <c r="T18" s="8">
        <f>Q18-S18</f>
        <v>0</v>
      </c>
      <c r="U18" s="8">
        <f>P18-S18</f>
        <v>0</v>
      </c>
    </row>
    <row r="19" spans="1:21" ht="15" customHeight="1" x14ac:dyDescent="0.2">
      <c r="A19" s="1"/>
      <c r="B19" s="1" t="s">
        <v>14</v>
      </c>
      <c r="C19" s="11" t="s">
        <v>103</v>
      </c>
      <c r="D19" s="19"/>
      <c r="E19" s="8">
        <f>O19</f>
        <v>26437.5</v>
      </c>
      <c r="F19" s="1"/>
      <c r="G19" s="21">
        <v>0</v>
      </c>
      <c r="H19" s="21">
        <v>13600</v>
      </c>
      <c r="I19" s="8">
        <v>500</v>
      </c>
      <c r="J19" s="8">
        <f>H19+I19</f>
        <v>14100</v>
      </c>
      <c r="K19" s="28">
        <v>0.5</v>
      </c>
      <c r="L19" s="8">
        <f>J19*K19</f>
        <v>7050</v>
      </c>
      <c r="M19" s="8">
        <f>J19+L19</f>
        <v>21150</v>
      </c>
      <c r="N19" s="8">
        <f>M19*0.25</f>
        <v>5287.5</v>
      </c>
      <c r="O19" s="27">
        <f>M19+N19</f>
        <v>26437.5</v>
      </c>
      <c r="P19" s="8">
        <f>O19*D19</f>
        <v>0</v>
      </c>
      <c r="Q19" s="8">
        <f>(M19-J19)*D19</f>
        <v>0</v>
      </c>
      <c r="R19" s="29">
        <v>0.05</v>
      </c>
      <c r="S19" s="8">
        <f>P19*R19</f>
        <v>0</v>
      </c>
      <c r="T19" s="8">
        <f>Q19-S19</f>
        <v>0</v>
      </c>
      <c r="U19" s="8">
        <f>P19-S19</f>
        <v>0</v>
      </c>
    </row>
    <row r="20" spans="1:21" ht="15" customHeight="1" x14ac:dyDescent="0.2">
      <c r="A20" s="1"/>
      <c r="B20" s="1" t="s">
        <v>14</v>
      </c>
      <c r="C20" s="1" t="s">
        <v>117</v>
      </c>
      <c r="D20" s="19"/>
      <c r="E20" s="8">
        <f>O20</f>
        <v>21800</v>
      </c>
      <c r="F20" s="1"/>
      <c r="G20" s="21"/>
      <c r="H20" s="21">
        <v>10900</v>
      </c>
      <c r="I20" s="8">
        <v>0</v>
      </c>
      <c r="J20" s="8">
        <f>H20+I20</f>
        <v>10900</v>
      </c>
      <c r="K20" s="28">
        <v>0.6</v>
      </c>
      <c r="L20" s="8">
        <f>J20*K20</f>
        <v>6540</v>
      </c>
      <c r="M20" s="8">
        <f>J20+L20</f>
        <v>17440</v>
      </c>
      <c r="N20" s="8">
        <f>M20*0.25</f>
        <v>4360</v>
      </c>
      <c r="O20" s="27">
        <f>M20+N20</f>
        <v>21800</v>
      </c>
      <c r="P20" s="8">
        <f>O20*D20</f>
        <v>0</v>
      </c>
      <c r="Q20" s="8">
        <f>(M20-J20)*D20</f>
        <v>0</v>
      </c>
      <c r="R20" s="29">
        <v>0.05</v>
      </c>
      <c r="S20" s="8">
        <f>P20*R20</f>
        <v>0</v>
      </c>
      <c r="T20" s="8">
        <f>Q20-S20</f>
        <v>0</v>
      </c>
      <c r="U20" s="8">
        <f>P20-S20</f>
        <v>0</v>
      </c>
    </row>
    <row r="21" spans="1:21" ht="15" customHeight="1" x14ac:dyDescent="0.2">
      <c r="A21" s="1"/>
      <c r="B21" s="1" t="s">
        <v>14</v>
      </c>
      <c r="C21" s="131" t="s">
        <v>118</v>
      </c>
      <c r="D21" s="19"/>
      <c r="E21" s="8">
        <f>O21</f>
        <v>10765.8</v>
      </c>
      <c r="F21" s="16"/>
      <c r="G21" s="21">
        <v>0</v>
      </c>
      <c r="H21" s="21">
        <v>5981</v>
      </c>
      <c r="J21" s="8">
        <f>H21+I21</f>
        <v>5981</v>
      </c>
      <c r="K21" s="4">
        <v>0.44</v>
      </c>
      <c r="L21" s="8">
        <f>J21*K21</f>
        <v>2631.64</v>
      </c>
      <c r="M21" s="8">
        <f>J21+L21</f>
        <v>8612.64</v>
      </c>
      <c r="N21" s="8">
        <f>M21*0.25</f>
        <v>2153.16</v>
      </c>
      <c r="O21" s="8">
        <f>M21+N21</f>
        <v>10765.8</v>
      </c>
      <c r="P21" s="8">
        <f>O21*D21</f>
        <v>0</v>
      </c>
      <c r="Q21" s="8">
        <f>(M21-J21)*D21</f>
        <v>0</v>
      </c>
      <c r="R21" s="29">
        <v>0</v>
      </c>
      <c r="S21" s="8">
        <f>P21*R21</f>
        <v>0</v>
      </c>
      <c r="T21" s="8">
        <f>Q21-S21</f>
        <v>0</v>
      </c>
      <c r="U21" s="8">
        <f>P21-S21</f>
        <v>0</v>
      </c>
    </row>
    <row r="22" spans="1:21" ht="15" customHeight="1" x14ac:dyDescent="0.2">
      <c r="B22" s="1" t="s">
        <v>14</v>
      </c>
      <c r="C22" s="1" t="s">
        <v>97</v>
      </c>
      <c r="D22" s="19"/>
      <c r="E22" s="8">
        <f t="shared" ref="E22" si="43">O22</f>
        <v>21537</v>
      </c>
      <c r="F22" s="16"/>
      <c r="G22" s="21">
        <v>0</v>
      </c>
      <c r="H22" s="21">
        <v>11965</v>
      </c>
      <c r="J22" s="8">
        <f t="shared" ref="J22" si="44">H22+I22</f>
        <v>11965</v>
      </c>
      <c r="K22" s="4">
        <v>0.44</v>
      </c>
      <c r="L22" s="8">
        <f t="shared" ref="L22" si="45">J22*K22</f>
        <v>5264.6</v>
      </c>
      <c r="M22" s="8">
        <f t="shared" ref="M22" si="46">J22+L22</f>
        <v>17229.599999999999</v>
      </c>
      <c r="N22" s="8">
        <f t="shared" ref="N22" si="47">M22*0.25</f>
        <v>4307.3999999999996</v>
      </c>
      <c r="O22" s="8">
        <f t="shared" ref="O22" si="48">M22+N22</f>
        <v>21537</v>
      </c>
      <c r="P22" s="8">
        <f t="shared" ref="P22" si="49">O22*D22</f>
        <v>0</v>
      </c>
      <c r="Q22" s="8">
        <f t="shared" ref="Q22" si="50">(M22-J22)*D22</f>
        <v>0</v>
      </c>
      <c r="R22" s="29">
        <v>0.05</v>
      </c>
      <c r="S22" s="8">
        <f t="shared" ref="S22" si="51">P22*R22</f>
        <v>0</v>
      </c>
      <c r="T22" s="8">
        <f t="shared" ref="T22" si="52">Q22-S22</f>
        <v>0</v>
      </c>
      <c r="U22" s="8">
        <f t="shared" ref="U22" si="53">P22-S22</f>
        <v>0</v>
      </c>
    </row>
    <row r="23" spans="1:21" ht="15" hidden="1" customHeight="1" x14ac:dyDescent="0.2">
      <c r="A23" s="1">
        <v>1</v>
      </c>
      <c r="B23" s="1" t="s">
        <v>14</v>
      </c>
      <c r="C23" s="130" t="s">
        <v>119</v>
      </c>
      <c r="D23" s="19"/>
      <c r="E23" s="8">
        <f t="shared" ref="E23" si="54">O23</f>
        <v>9972.625</v>
      </c>
      <c r="F23" s="1"/>
      <c r="G23" s="20" t="s">
        <v>88</v>
      </c>
      <c r="H23" s="20">
        <v>4099</v>
      </c>
      <c r="I23" s="8">
        <v>100</v>
      </c>
      <c r="J23" s="8">
        <f t="shared" ref="J23" si="55">H23+I23</f>
        <v>4199</v>
      </c>
      <c r="K23" s="28">
        <v>0.9</v>
      </c>
      <c r="L23" s="8">
        <f t="shared" ref="L23" si="56">J23*K23</f>
        <v>3779.1</v>
      </c>
      <c r="M23" s="8">
        <f t="shared" ref="M23" si="57">J23+L23</f>
        <v>7978.1</v>
      </c>
      <c r="N23" s="8">
        <f t="shared" ref="N23" si="58">M23*0.25</f>
        <v>1994.5250000000001</v>
      </c>
      <c r="O23" s="27">
        <f t="shared" ref="O23" si="59">M23+N23</f>
        <v>9972.625</v>
      </c>
      <c r="P23" s="8">
        <f t="shared" si="1"/>
        <v>0</v>
      </c>
      <c r="Q23" s="8">
        <f t="shared" si="2"/>
        <v>0</v>
      </c>
      <c r="R23" s="29">
        <v>0</v>
      </c>
      <c r="S23" s="8">
        <f t="shared" ref="S23" si="60">P23*R23</f>
        <v>0</v>
      </c>
      <c r="T23" s="8">
        <f t="shared" ref="T23" si="61">Q23-S23</f>
        <v>0</v>
      </c>
      <c r="U23" s="8">
        <f t="shared" ref="U23" si="62">P23-S23</f>
        <v>0</v>
      </c>
    </row>
    <row r="24" spans="1:21" ht="15" customHeight="1" x14ac:dyDescent="0.2">
      <c r="A24" s="1"/>
      <c r="B24" s="1" t="s">
        <v>14</v>
      </c>
      <c r="C24" s="130" t="s">
        <v>120</v>
      </c>
      <c r="D24" s="19"/>
      <c r="E24" s="8">
        <f>O24</f>
        <v>15951.999999999998</v>
      </c>
      <c r="F24" s="16"/>
      <c r="G24" s="21" t="s">
        <v>88</v>
      </c>
      <c r="H24" s="21">
        <v>7976</v>
      </c>
      <c r="I24" s="8">
        <v>0</v>
      </c>
      <c r="J24" s="8">
        <f>H24+I24</f>
        <v>7976</v>
      </c>
      <c r="K24" s="4">
        <v>0.6</v>
      </c>
      <c r="L24" s="8">
        <f>J24*K24</f>
        <v>4785.5999999999995</v>
      </c>
      <c r="M24" s="8">
        <f>J24+L24</f>
        <v>12761.599999999999</v>
      </c>
      <c r="N24" s="8">
        <f>M24*0.25</f>
        <v>3190.3999999999996</v>
      </c>
      <c r="O24" s="8">
        <f>M24+N24</f>
        <v>15951.999999999998</v>
      </c>
      <c r="P24" s="8">
        <f t="shared" si="1"/>
        <v>0</v>
      </c>
      <c r="Q24" s="8">
        <f t="shared" si="2"/>
        <v>0</v>
      </c>
      <c r="R24" s="29">
        <v>0</v>
      </c>
      <c r="S24" s="8">
        <f>P24*R24</f>
        <v>0</v>
      </c>
      <c r="T24" s="8">
        <f>Q24-S24</f>
        <v>0</v>
      </c>
      <c r="U24" s="8">
        <f>P24-S24</f>
        <v>0</v>
      </c>
    </row>
    <row r="25" spans="1:21" ht="15" customHeight="1" x14ac:dyDescent="0.2">
      <c r="A25" s="1"/>
      <c r="B25" s="1" t="s">
        <v>14</v>
      </c>
      <c r="C25" s="130" t="s">
        <v>121</v>
      </c>
      <c r="D25" s="19"/>
      <c r="E25" s="8">
        <f t="shared" ref="E25" si="63">O25</f>
        <v>19546.25</v>
      </c>
      <c r="F25" s="16"/>
      <c r="G25" s="21" t="s">
        <v>88</v>
      </c>
      <c r="H25" s="21">
        <v>8230</v>
      </c>
      <c r="I25" s="8">
        <v>0</v>
      </c>
      <c r="J25" s="8">
        <f t="shared" ref="J25" si="64">H25+I25</f>
        <v>8230</v>
      </c>
      <c r="K25" s="4">
        <v>0.9</v>
      </c>
      <c r="L25" s="8">
        <f t="shared" ref="L25" si="65">J25*K25</f>
        <v>7407</v>
      </c>
      <c r="M25" s="8">
        <f t="shared" ref="M25" si="66">J25+L25</f>
        <v>15637</v>
      </c>
      <c r="N25" s="8">
        <f t="shared" ref="N25" si="67">M25*0.25</f>
        <v>3909.25</v>
      </c>
      <c r="O25" s="8">
        <f t="shared" ref="O25" si="68">M25+N25</f>
        <v>19546.25</v>
      </c>
      <c r="P25" s="8">
        <f t="shared" si="1"/>
        <v>0</v>
      </c>
      <c r="Q25" s="8">
        <f t="shared" si="2"/>
        <v>0</v>
      </c>
      <c r="R25" s="29">
        <v>0</v>
      </c>
      <c r="S25" s="8">
        <f t="shared" ref="S25" si="69">P25*R25</f>
        <v>0</v>
      </c>
      <c r="T25" s="8">
        <f t="shared" ref="T25" si="70">Q25-S25</f>
        <v>0</v>
      </c>
      <c r="U25" s="8">
        <f t="shared" ref="U25" si="71">P25-S25</f>
        <v>0</v>
      </c>
    </row>
    <row r="26" spans="1:21" ht="15" customHeight="1" x14ac:dyDescent="0.2">
      <c r="A26" s="1"/>
      <c r="B26" s="1" t="s">
        <v>13</v>
      </c>
      <c r="C26" s="1" t="s">
        <v>110</v>
      </c>
      <c r="D26" s="19"/>
      <c r="E26" s="8">
        <f t="shared" si="0"/>
        <v>896.25</v>
      </c>
      <c r="F26" s="16"/>
      <c r="G26" s="21"/>
      <c r="H26" s="21">
        <v>478</v>
      </c>
      <c r="I26" s="8">
        <v>0</v>
      </c>
      <c r="J26" s="8">
        <f t="shared" si="14"/>
        <v>478</v>
      </c>
      <c r="K26" s="4">
        <v>0.5</v>
      </c>
      <c r="L26" s="8">
        <f t="shared" si="15"/>
        <v>239</v>
      </c>
      <c r="M26" s="8">
        <f t="shared" si="16"/>
        <v>717</v>
      </c>
      <c r="N26" s="8">
        <f t="shared" si="17"/>
        <v>179.25</v>
      </c>
      <c r="O26" s="8">
        <f t="shared" si="18"/>
        <v>896.25</v>
      </c>
      <c r="P26" s="8">
        <f t="shared" si="1"/>
        <v>0</v>
      </c>
      <c r="Q26" s="8">
        <f t="shared" si="2"/>
        <v>0</v>
      </c>
      <c r="R26" s="29">
        <v>0</v>
      </c>
      <c r="S26" s="8">
        <f t="shared" ref="S26" si="72">P26*R26</f>
        <v>0</v>
      </c>
      <c r="T26" s="8">
        <f t="shared" si="20"/>
        <v>0</v>
      </c>
      <c r="U26" s="8">
        <f t="shared" si="21"/>
        <v>0</v>
      </c>
    </row>
    <row r="27" spans="1:21" ht="15" customHeight="1" x14ac:dyDescent="0.2">
      <c r="B27" s="1" t="s">
        <v>13</v>
      </c>
      <c r="C27" s="1" t="s">
        <v>74</v>
      </c>
      <c r="D27" s="19"/>
      <c r="E27" s="8">
        <f t="shared" si="0"/>
        <v>2673.75</v>
      </c>
      <c r="F27" s="30"/>
      <c r="G27" s="31"/>
      <c r="H27" s="21">
        <v>1426</v>
      </c>
      <c r="J27" s="8">
        <f t="shared" si="14"/>
        <v>1426</v>
      </c>
      <c r="K27" s="4">
        <v>0.5</v>
      </c>
      <c r="L27" s="97">
        <f t="shared" si="15"/>
        <v>713</v>
      </c>
      <c r="M27" s="8">
        <f t="shared" si="16"/>
        <v>2139</v>
      </c>
      <c r="N27" s="8">
        <f t="shared" si="17"/>
        <v>534.75</v>
      </c>
      <c r="O27" s="8">
        <f t="shared" si="18"/>
        <v>2673.75</v>
      </c>
      <c r="P27" s="8">
        <f t="shared" si="1"/>
        <v>0</v>
      </c>
      <c r="Q27" s="8">
        <f t="shared" si="2"/>
        <v>0</v>
      </c>
      <c r="R27" s="29"/>
      <c r="S27" s="8">
        <f t="shared" si="19"/>
        <v>0</v>
      </c>
      <c r="T27" s="8">
        <f t="shared" si="20"/>
        <v>0</v>
      </c>
      <c r="U27" s="8">
        <f t="shared" si="21"/>
        <v>0</v>
      </c>
    </row>
    <row r="28" spans="1:21" ht="15" customHeight="1" x14ac:dyDescent="0.2">
      <c r="A28" s="1"/>
      <c r="B28" s="1" t="s">
        <v>13</v>
      </c>
      <c r="C28" s="1" t="s">
        <v>75</v>
      </c>
      <c r="E28" s="8">
        <f t="shared" si="0"/>
        <v>2673.75</v>
      </c>
      <c r="F28" s="124"/>
      <c r="G28" s="89"/>
      <c r="H28" s="21">
        <v>1426</v>
      </c>
      <c r="J28" s="8">
        <f t="shared" si="14"/>
        <v>1426</v>
      </c>
      <c r="K28" s="4">
        <v>0.5</v>
      </c>
      <c r="L28" s="8">
        <f t="shared" si="15"/>
        <v>713</v>
      </c>
      <c r="M28" s="8">
        <f t="shared" si="16"/>
        <v>2139</v>
      </c>
      <c r="N28" s="8">
        <f t="shared" si="17"/>
        <v>534.75</v>
      </c>
      <c r="O28" s="8">
        <f t="shared" si="18"/>
        <v>2673.75</v>
      </c>
      <c r="P28" s="8">
        <f t="shared" si="1"/>
        <v>0</v>
      </c>
      <c r="Q28" s="8">
        <f t="shared" si="2"/>
        <v>0</v>
      </c>
      <c r="R28" s="29">
        <v>0</v>
      </c>
      <c r="T28" s="8">
        <f t="shared" si="20"/>
        <v>0</v>
      </c>
      <c r="U28" s="8">
        <f t="shared" si="21"/>
        <v>0</v>
      </c>
    </row>
    <row r="29" spans="1:21" ht="15" customHeight="1" x14ac:dyDescent="0.2">
      <c r="A29" s="1"/>
      <c r="B29" s="1" t="s">
        <v>13</v>
      </c>
      <c r="C29" s="1" t="s">
        <v>96</v>
      </c>
      <c r="E29" s="8">
        <f t="shared" si="0"/>
        <v>5555.625</v>
      </c>
      <c r="F29" s="124"/>
      <c r="G29" s="89"/>
      <c r="H29" s="21">
        <v>2963</v>
      </c>
      <c r="J29" s="8">
        <f t="shared" si="14"/>
        <v>2963</v>
      </c>
      <c r="K29" s="4">
        <v>0.5</v>
      </c>
      <c r="L29" s="8">
        <f t="shared" ref="L29:L30" si="73">J29*K29</f>
        <v>1481.5</v>
      </c>
      <c r="M29" s="8">
        <f t="shared" ref="M29:M30" si="74">J29+L29</f>
        <v>4444.5</v>
      </c>
      <c r="N29" s="8">
        <f t="shared" ref="N29:N30" si="75">M29*0.25</f>
        <v>1111.125</v>
      </c>
      <c r="O29" s="8">
        <f t="shared" ref="O29:O30" si="76">M29+N29</f>
        <v>5555.625</v>
      </c>
      <c r="P29" s="8">
        <f t="shared" ref="P29:P30" si="77">O29*D29</f>
        <v>0</v>
      </c>
      <c r="Q29" s="8">
        <f t="shared" ref="Q29:Q30" si="78">(M29-J29)*D29</f>
        <v>0</v>
      </c>
      <c r="R29" s="29">
        <v>0</v>
      </c>
      <c r="S29" s="8">
        <f t="shared" ref="S29:S31" si="79">P29*R29</f>
        <v>0</v>
      </c>
      <c r="T29" s="8">
        <f t="shared" ref="T29:T31" si="80">Q29-S29</f>
        <v>0</v>
      </c>
      <c r="U29" s="8">
        <f t="shared" ref="U29:U31" si="81">P29-S29</f>
        <v>0</v>
      </c>
    </row>
    <row r="30" spans="1:21" ht="15" customHeight="1" x14ac:dyDescent="0.2">
      <c r="B30" s="1" t="s">
        <v>13</v>
      </c>
      <c r="C30" s="1" t="s">
        <v>83</v>
      </c>
      <c r="E30" s="8">
        <f t="shared" si="0"/>
        <v>6020.625</v>
      </c>
      <c r="F30" s="124"/>
      <c r="G30" s="89"/>
      <c r="H30" s="21">
        <v>3211</v>
      </c>
      <c r="J30" s="8">
        <f t="shared" si="14"/>
        <v>3211</v>
      </c>
      <c r="K30" s="4">
        <v>0.5</v>
      </c>
      <c r="L30" s="8">
        <f t="shared" si="73"/>
        <v>1605.5</v>
      </c>
      <c r="M30" s="8">
        <f t="shared" si="74"/>
        <v>4816.5</v>
      </c>
      <c r="N30" s="8">
        <f t="shared" si="75"/>
        <v>1204.125</v>
      </c>
      <c r="O30" s="8">
        <f t="shared" si="76"/>
        <v>6020.625</v>
      </c>
      <c r="P30" s="8">
        <f t="shared" si="77"/>
        <v>0</v>
      </c>
      <c r="Q30" s="8">
        <f t="shared" si="78"/>
        <v>0</v>
      </c>
      <c r="R30" s="29">
        <v>0</v>
      </c>
      <c r="S30" s="8">
        <f t="shared" si="79"/>
        <v>0</v>
      </c>
      <c r="T30" s="8">
        <f t="shared" si="80"/>
        <v>0</v>
      </c>
      <c r="U30" s="8">
        <f t="shared" si="81"/>
        <v>0</v>
      </c>
    </row>
    <row r="31" spans="1:21" ht="15" customHeight="1" x14ac:dyDescent="0.2">
      <c r="A31" s="1"/>
      <c r="B31" s="1" t="s">
        <v>15</v>
      </c>
      <c r="C31" s="1" t="s">
        <v>99</v>
      </c>
      <c r="E31" s="134">
        <f t="shared" si="0"/>
        <v>14997.125</v>
      </c>
      <c r="F31" s="124"/>
      <c r="G31" s="89"/>
      <c r="H31" s="21">
        <v>8390</v>
      </c>
      <c r="J31" s="8">
        <f t="shared" si="14"/>
        <v>8390</v>
      </c>
      <c r="K31" s="4">
        <v>0.43</v>
      </c>
      <c r="L31" s="8">
        <f t="shared" si="15"/>
        <v>3607.7</v>
      </c>
      <c r="M31" s="8">
        <f t="shared" si="16"/>
        <v>11997.7</v>
      </c>
      <c r="N31" s="8">
        <f t="shared" si="17"/>
        <v>2999.4250000000002</v>
      </c>
      <c r="O31" s="8">
        <f t="shared" si="18"/>
        <v>14997.125</v>
      </c>
      <c r="P31" s="8">
        <f t="shared" si="1"/>
        <v>0</v>
      </c>
      <c r="Q31" s="8">
        <f t="shared" si="2"/>
        <v>0</v>
      </c>
      <c r="R31" s="29">
        <v>0</v>
      </c>
      <c r="S31" s="8">
        <f t="shared" si="79"/>
        <v>0</v>
      </c>
      <c r="T31" s="8">
        <f t="shared" si="80"/>
        <v>0</v>
      </c>
      <c r="U31" s="8">
        <f t="shared" si="81"/>
        <v>0</v>
      </c>
    </row>
    <row r="32" spans="1:21" ht="15" customHeight="1" x14ac:dyDescent="0.2">
      <c r="A32" s="1"/>
      <c r="B32" s="1" t="s">
        <v>15</v>
      </c>
      <c r="C32" s="1" t="s">
        <v>109</v>
      </c>
      <c r="E32" s="8">
        <f t="shared" si="0"/>
        <v>11275.3125</v>
      </c>
      <c r="F32" s="22"/>
      <c r="H32" s="20">
        <v>6330</v>
      </c>
      <c r="I32" s="8">
        <v>0</v>
      </c>
      <c r="J32" s="8">
        <f t="shared" si="14"/>
        <v>6330</v>
      </c>
      <c r="K32" s="4">
        <v>0.42499999999999999</v>
      </c>
      <c r="L32" s="8">
        <f t="shared" ref="L32" si="82">J32*K32</f>
        <v>2690.25</v>
      </c>
      <c r="M32" s="8">
        <f t="shared" ref="M32" si="83">J32+L32</f>
        <v>9020.25</v>
      </c>
      <c r="N32" s="8">
        <f t="shared" ref="N32" si="84">M32*0.25</f>
        <v>2255.0625</v>
      </c>
      <c r="O32" s="8">
        <f t="shared" ref="O32" si="85">M32+N32</f>
        <v>11275.3125</v>
      </c>
      <c r="P32" s="8">
        <f t="shared" si="1"/>
        <v>0</v>
      </c>
      <c r="Q32" s="8">
        <f t="shared" si="2"/>
        <v>0</v>
      </c>
      <c r="R32" s="29">
        <v>0</v>
      </c>
      <c r="S32" s="8">
        <f t="shared" ref="S32" si="86">P32*R32</f>
        <v>0</v>
      </c>
      <c r="T32" s="8">
        <f t="shared" ref="T32" si="87">Q32-S32</f>
        <v>0</v>
      </c>
      <c r="U32" s="8">
        <f t="shared" ref="U32" si="88">P32-S32</f>
        <v>0</v>
      </c>
    </row>
    <row r="33" spans="1:21" ht="15" customHeight="1" x14ac:dyDescent="0.2">
      <c r="A33" s="1"/>
      <c r="B33" s="1" t="s">
        <v>15</v>
      </c>
      <c r="C33" s="1" t="s">
        <v>98</v>
      </c>
      <c r="D33" s="19"/>
      <c r="E33" s="8">
        <f t="shared" si="0"/>
        <v>35598.254999999997</v>
      </c>
      <c r="H33" s="21">
        <v>19943</v>
      </c>
      <c r="I33" s="8">
        <v>0</v>
      </c>
      <c r="J33" s="8">
        <f t="shared" si="14"/>
        <v>19943</v>
      </c>
      <c r="K33" s="4">
        <v>0.42799999999999999</v>
      </c>
      <c r="L33" s="8">
        <f t="shared" si="15"/>
        <v>8535.6039999999994</v>
      </c>
      <c r="M33" s="8">
        <f t="shared" si="16"/>
        <v>28478.603999999999</v>
      </c>
      <c r="N33" s="8">
        <f t="shared" si="17"/>
        <v>7119.6509999999998</v>
      </c>
      <c r="O33" s="8">
        <f t="shared" si="18"/>
        <v>35598.254999999997</v>
      </c>
      <c r="P33" s="8">
        <f t="shared" si="1"/>
        <v>0</v>
      </c>
      <c r="Q33" s="8">
        <f t="shared" si="2"/>
        <v>0</v>
      </c>
      <c r="R33" s="29">
        <v>0.05</v>
      </c>
      <c r="S33" s="8">
        <f t="shared" si="19"/>
        <v>0</v>
      </c>
      <c r="T33" s="8">
        <f t="shared" si="20"/>
        <v>0</v>
      </c>
      <c r="U33" s="8">
        <f t="shared" si="21"/>
        <v>0</v>
      </c>
    </row>
    <row r="34" spans="1:21" ht="14.25" x14ac:dyDescent="0.2">
      <c r="B34" s="1" t="s">
        <v>15</v>
      </c>
      <c r="C34" s="1" t="s">
        <v>70</v>
      </c>
      <c r="D34" s="19"/>
      <c r="E34" s="8">
        <f t="shared" si="0"/>
        <v>18840.25</v>
      </c>
      <c r="H34" s="21">
        <v>10540</v>
      </c>
      <c r="I34" s="8">
        <v>0</v>
      </c>
      <c r="J34" s="8">
        <f t="shared" ref="J34" si="89">H34+I34</f>
        <v>10540</v>
      </c>
      <c r="K34" s="4">
        <v>0.43</v>
      </c>
      <c r="L34" s="8">
        <f t="shared" ref="L34" si="90">J34*K34</f>
        <v>4532.2</v>
      </c>
      <c r="M34" s="8">
        <f t="shared" ref="M34" si="91">J34+L34</f>
        <v>15072.2</v>
      </c>
      <c r="N34" s="8">
        <f t="shared" ref="N34" si="92">M34*0.25</f>
        <v>3768.05</v>
      </c>
      <c r="O34" s="8">
        <f t="shared" ref="O34" si="93">M34+N34</f>
        <v>18840.25</v>
      </c>
      <c r="P34" s="8">
        <f t="shared" ref="P34" si="94">O34*D34</f>
        <v>0</v>
      </c>
      <c r="Q34" s="8">
        <f t="shared" ref="Q34" si="95">(M34-J34)*D34</f>
        <v>0</v>
      </c>
      <c r="R34" s="29">
        <v>0.05</v>
      </c>
      <c r="S34" s="8">
        <f t="shared" ref="S34:S36" si="96">P34*R34</f>
        <v>0</v>
      </c>
      <c r="T34" s="8">
        <f t="shared" ref="T34" si="97">Q34-S34</f>
        <v>0</v>
      </c>
      <c r="U34" s="8">
        <f t="shared" ref="U34" si="98">P34-S34</f>
        <v>0</v>
      </c>
    </row>
    <row r="35" spans="1:21" ht="14.25" hidden="1" x14ac:dyDescent="0.2">
      <c r="A35" s="1">
        <v>1</v>
      </c>
      <c r="B35" s="1" t="s">
        <v>15</v>
      </c>
      <c r="C35" s="1" t="s">
        <v>71</v>
      </c>
      <c r="D35" s="19"/>
      <c r="E35" s="8">
        <f t="shared" si="0"/>
        <v>18840.25</v>
      </c>
      <c r="H35" s="21">
        <v>10540</v>
      </c>
      <c r="I35" s="8">
        <v>0</v>
      </c>
      <c r="J35" s="8">
        <f t="shared" ref="J35" si="99">H35+I35</f>
        <v>10540</v>
      </c>
      <c r="K35" s="4">
        <v>0.43</v>
      </c>
      <c r="L35" s="8">
        <f t="shared" ref="L35" si="100">J35*K35</f>
        <v>4532.2</v>
      </c>
      <c r="M35" s="8">
        <f t="shared" ref="M35" si="101">J35+L35</f>
        <v>15072.2</v>
      </c>
      <c r="N35" s="8">
        <f t="shared" ref="N35" si="102">M35*0.25</f>
        <v>3768.05</v>
      </c>
      <c r="O35" s="8">
        <f t="shared" ref="O35" si="103">M35+N35</f>
        <v>18840.25</v>
      </c>
      <c r="P35" s="8">
        <f t="shared" si="1"/>
        <v>0</v>
      </c>
      <c r="Q35" s="8">
        <f t="shared" si="2"/>
        <v>0</v>
      </c>
      <c r="R35" s="29">
        <v>0</v>
      </c>
      <c r="S35" s="8">
        <f t="shared" ref="S35" si="104">P35*R35</f>
        <v>0</v>
      </c>
      <c r="T35" s="8">
        <f t="shared" ref="T35" si="105">Q35-S35</f>
        <v>0</v>
      </c>
      <c r="U35" s="8">
        <f t="shared" ref="U35" si="106">P35-S35</f>
        <v>0</v>
      </c>
    </row>
    <row r="36" spans="1:21" ht="14.25" x14ac:dyDescent="0.2">
      <c r="A36" s="1"/>
      <c r="B36" s="1" t="s">
        <v>15</v>
      </c>
      <c r="C36" s="1" t="s">
        <v>72</v>
      </c>
      <c r="D36" s="19"/>
      <c r="E36" s="8">
        <f t="shared" si="0"/>
        <v>10687.5</v>
      </c>
      <c r="H36" s="20">
        <v>5700</v>
      </c>
      <c r="I36" s="8">
        <v>0</v>
      </c>
      <c r="J36" s="8">
        <f t="shared" si="14"/>
        <v>5700</v>
      </c>
      <c r="K36" s="4">
        <v>0.5</v>
      </c>
      <c r="L36" s="97">
        <f t="shared" si="15"/>
        <v>2850</v>
      </c>
      <c r="M36" s="8">
        <f t="shared" si="16"/>
        <v>8550</v>
      </c>
      <c r="N36" s="8">
        <f t="shared" si="17"/>
        <v>2137.5</v>
      </c>
      <c r="O36" s="8">
        <f t="shared" si="18"/>
        <v>10687.5</v>
      </c>
      <c r="P36" s="8">
        <f t="shared" si="1"/>
        <v>0</v>
      </c>
      <c r="Q36" s="8">
        <f t="shared" si="2"/>
        <v>0</v>
      </c>
      <c r="R36" s="29">
        <v>0.05</v>
      </c>
      <c r="S36" s="8">
        <f t="shared" si="96"/>
        <v>0</v>
      </c>
      <c r="T36" s="8">
        <f t="shared" si="20"/>
        <v>0</v>
      </c>
      <c r="U36" s="8">
        <f t="shared" si="21"/>
        <v>0</v>
      </c>
    </row>
    <row r="37" spans="1:21" ht="15" customHeight="1" x14ac:dyDescent="0.2">
      <c r="A37" s="1"/>
      <c r="B37" s="1" t="s">
        <v>15</v>
      </c>
      <c r="C37" s="1" t="s">
        <v>55</v>
      </c>
      <c r="D37" s="19"/>
      <c r="E37" s="8">
        <f t="shared" si="0"/>
        <v>16561.875</v>
      </c>
      <c r="H37" s="21">
        <v>8833</v>
      </c>
      <c r="I37" s="8">
        <v>0</v>
      </c>
      <c r="J37" s="8">
        <f>H37+I37</f>
        <v>8833</v>
      </c>
      <c r="K37" s="4">
        <v>0.5</v>
      </c>
      <c r="L37" s="8">
        <f>J37*K37</f>
        <v>4416.5</v>
      </c>
      <c r="M37" s="8">
        <f>J37+L37</f>
        <v>13249.5</v>
      </c>
      <c r="N37" s="8">
        <f>M37*0.25</f>
        <v>3312.375</v>
      </c>
      <c r="O37" s="8">
        <f>M37+N37</f>
        <v>16561.875</v>
      </c>
      <c r="P37" s="8">
        <f t="shared" si="1"/>
        <v>0</v>
      </c>
      <c r="Q37" s="8">
        <f t="shared" si="2"/>
        <v>0</v>
      </c>
      <c r="R37" s="29">
        <v>0.05</v>
      </c>
      <c r="S37" s="8">
        <f t="shared" si="19"/>
        <v>0</v>
      </c>
      <c r="T37" s="8">
        <f t="shared" si="20"/>
        <v>0</v>
      </c>
      <c r="U37" s="8">
        <f t="shared" si="21"/>
        <v>0</v>
      </c>
    </row>
    <row r="38" spans="1:21" ht="15" hidden="1" customHeight="1" x14ac:dyDescent="0.2">
      <c r="A38" s="1">
        <v>1</v>
      </c>
      <c r="B38" s="1" t="s">
        <v>16</v>
      </c>
      <c r="C38" s="1" t="s">
        <v>66</v>
      </c>
      <c r="D38" s="19"/>
      <c r="E38" s="8">
        <f t="shared" si="0"/>
        <v>337.5</v>
      </c>
      <c r="H38" s="20">
        <v>150</v>
      </c>
      <c r="J38" s="8">
        <f t="shared" si="14"/>
        <v>150</v>
      </c>
      <c r="K38" s="4">
        <v>0.8</v>
      </c>
      <c r="L38" s="8">
        <f t="shared" si="15"/>
        <v>120</v>
      </c>
      <c r="M38" s="8">
        <f t="shared" si="16"/>
        <v>270</v>
      </c>
      <c r="N38" s="8">
        <f t="shared" si="17"/>
        <v>67.5</v>
      </c>
      <c r="O38" s="8">
        <f t="shared" si="18"/>
        <v>337.5</v>
      </c>
      <c r="P38" s="8">
        <f t="shared" si="1"/>
        <v>0</v>
      </c>
      <c r="Q38" s="8">
        <f t="shared" si="2"/>
        <v>0</v>
      </c>
      <c r="R38" s="29">
        <v>0</v>
      </c>
      <c r="S38" s="8">
        <f t="shared" si="19"/>
        <v>0</v>
      </c>
      <c r="T38" s="8">
        <f t="shared" si="20"/>
        <v>0</v>
      </c>
      <c r="U38" s="8">
        <f t="shared" si="21"/>
        <v>0</v>
      </c>
    </row>
    <row r="39" spans="1:21" ht="15" hidden="1" customHeight="1" x14ac:dyDescent="0.2">
      <c r="A39" s="1">
        <v>1</v>
      </c>
      <c r="B39" s="1" t="s">
        <v>16</v>
      </c>
      <c r="C39" s="1" t="s">
        <v>100</v>
      </c>
      <c r="D39" s="19"/>
      <c r="E39" s="8">
        <f t="shared" si="0"/>
        <v>1543.5</v>
      </c>
      <c r="H39" s="21">
        <v>882</v>
      </c>
      <c r="I39" s="8">
        <v>0</v>
      </c>
      <c r="J39" s="8">
        <f>H39+I39</f>
        <v>882</v>
      </c>
      <c r="K39" s="4">
        <v>0.4</v>
      </c>
      <c r="L39" s="8">
        <f>J39*K39</f>
        <v>352.8</v>
      </c>
      <c r="M39" s="8">
        <f>J39+L39</f>
        <v>1234.8</v>
      </c>
      <c r="N39" s="8">
        <f>M39*0.25</f>
        <v>308.7</v>
      </c>
      <c r="O39" s="8">
        <f>M39+N39</f>
        <v>1543.5</v>
      </c>
      <c r="P39" s="8">
        <f t="shared" si="1"/>
        <v>0</v>
      </c>
      <c r="Q39" s="8">
        <f t="shared" si="2"/>
        <v>0</v>
      </c>
      <c r="R39" s="29">
        <v>0</v>
      </c>
      <c r="S39" s="8">
        <f t="shared" si="19"/>
        <v>0</v>
      </c>
      <c r="T39" s="8">
        <f t="shared" si="20"/>
        <v>0</v>
      </c>
      <c r="U39" s="8">
        <f t="shared" si="21"/>
        <v>0</v>
      </c>
    </row>
    <row r="40" spans="1:21" ht="15" hidden="1" customHeight="1" x14ac:dyDescent="0.2">
      <c r="A40" s="1">
        <v>1</v>
      </c>
      <c r="B40" s="1" t="s">
        <v>16</v>
      </c>
      <c r="C40" s="1" t="s">
        <v>84</v>
      </c>
      <c r="D40" s="19"/>
      <c r="E40" s="8">
        <f t="shared" si="0"/>
        <v>10078.125</v>
      </c>
      <c r="F40" s="16"/>
      <c r="G40" s="21"/>
      <c r="H40" s="21">
        <v>5375</v>
      </c>
      <c r="I40" s="8">
        <v>0</v>
      </c>
      <c r="J40" s="8">
        <f t="shared" si="14"/>
        <v>5375</v>
      </c>
      <c r="K40" s="4">
        <v>0.5</v>
      </c>
      <c r="L40" s="8">
        <f t="shared" si="15"/>
        <v>2687.5</v>
      </c>
      <c r="M40" s="8">
        <f t="shared" si="16"/>
        <v>8062.5</v>
      </c>
      <c r="N40" s="8">
        <f t="shared" si="17"/>
        <v>2015.625</v>
      </c>
      <c r="O40" s="8">
        <f t="shared" si="18"/>
        <v>10078.125</v>
      </c>
      <c r="P40" s="8">
        <f t="shared" si="1"/>
        <v>0</v>
      </c>
      <c r="Q40" s="8">
        <f t="shared" si="2"/>
        <v>0</v>
      </c>
      <c r="R40" s="29">
        <v>0</v>
      </c>
      <c r="S40" s="8">
        <f t="shared" si="19"/>
        <v>0</v>
      </c>
      <c r="T40" s="8">
        <f t="shared" si="20"/>
        <v>0</v>
      </c>
      <c r="U40" s="8">
        <f t="shared" si="21"/>
        <v>0</v>
      </c>
    </row>
    <row r="41" spans="1:21" ht="15" customHeight="1" x14ac:dyDescent="0.2">
      <c r="A41" s="1"/>
      <c r="B41" s="1" t="s">
        <v>16</v>
      </c>
      <c r="C41" s="1" t="s">
        <v>102</v>
      </c>
      <c r="D41" s="39"/>
      <c r="E41" s="8">
        <f t="shared" si="0"/>
        <v>3244.3125</v>
      </c>
      <c r="F41" s="16"/>
      <c r="G41" s="21"/>
      <c r="H41" s="21">
        <v>1815</v>
      </c>
      <c r="I41" s="8">
        <v>0</v>
      </c>
      <c r="J41" s="8">
        <f t="shared" ref="J41" si="107">H41+I41</f>
        <v>1815</v>
      </c>
      <c r="K41" s="4">
        <v>0.43</v>
      </c>
      <c r="L41" s="97">
        <f t="shared" ref="L41:L43" si="108">J41*K41</f>
        <v>780.44999999999993</v>
      </c>
      <c r="M41" s="8">
        <f t="shared" ref="M41:M43" si="109">J41+L41</f>
        <v>2595.4499999999998</v>
      </c>
      <c r="N41" s="8">
        <f t="shared" ref="N41:N43" si="110">M41*0.25</f>
        <v>648.86249999999995</v>
      </c>
      <c r="O41" s="8">
        <f t="shared" ref="O41:O43" si="111">M41+N41</f>
        <v>3244.3125</v>
      </c>
      <c r="P41" s="8">
        <f t="shared" si="1"/>
        <v>0</v>
      </c>
      <c r="Q41" s="8">
        <f t="shared" si="2"/>
        <v>0</v>
      </c>
      <c r="R41" s="29">
        <v>0</v>
      </c>
      <c r="S41" s="8">
        <f t="shared" ref="S41:S43" si="112">P41*R41</f>
        <v>0</v>
      </c>
      <c r="T41" s="8">
        <f t="shared" ref="T41:T43" si="113">Q41-S41</f>
        <v>0</v>
      </c>
      <c r="U41" s="8">
        <f t="shared" ref="U41:U43" si="114">P41-S41</f>
        <v>0</v>
      </c>
    </row>
    <row r="42" spans="1:21" ht="15" customHeight="1" x14ac:dyDescent="0.2">
      <c r="A42" s="1"/>
      <c r="B42" s="1" t="s">
        <v>16</v>
      </c>
      <c r="C42" s="1" t="s">
        <v>45</v>
      </c>
      <c r="D42" s="39"/>
      <c r="E42" s="8">
        <f t="shared" si="0"/>
        <v>4004</v>
      </c>
      <c r="F42" s="16"/>
      <c r="G42" s="21" t="s">
        <v>88</v>
      </c>
      <c r="H42" s="31">
        <v>2240</v>
      </c>
      <c r="J42" s="8">
        <f t="shared" ref="J42:J43" si="115">H42+I42</f>
        <v>2240</v>
      </c>
      <c r="K42" s="4">
        <v>0.43</v>
      </c>
      <c r="L42" s="97">
        <f t="shared" ref="L42" si="116">J42*K42</f>
        <v>963.19999999999993</v>
      </c>
      <c r="M42" s="8">
        <f t="shared" ref="M42" si="117">J42+L42</f>
        <v>3203.2</v>
      </c>
      <c r="N42" s="8">
        <f t="shared" ref="N42" si="118">M42*0.25</f>
        <v>800.8</v>
      </c>
      <c r="O42" s="8">
        <f t="shared" ref="O42" si="119">M42+N42</f>
        <v>4004</v>
      </c>
      <c r="P42" s="8">
        <f t="shared" si="1"/>
        <v>0</v>
      </c>
      <c r="Q42" s="8">
        <f t="shared" si="2"/>
        <v>0</v>
      </c>
      <c r="R42" s="29">
        <v>0</v>
      </c>
      <c r="S42" s="8">
        <f t="shared" ref="S42" si="120">P42*R42</f>
        <v>0</v>
      </c>
      <c r="T42" s="8">
        <f t="shared" ref="T42" si="121">Q42-S42</f>
        <v>0</v>
      </c>
      <c r="U42" s="8">
        <f t="shared" ref="U42" si="122">P42-S42</f>
        <v>0</v>
      </c>
    </row>
    <row r="43" spans="1:21" ht="15" customHeight="1" x14ac:dyDescent="0.2">
      <c r="A43" s="1"/>
      <c r="B43" s="1" t="s">
        <v>16</v>
      </c>
      <c r="C43" s="1" t="s">
        <v>80</v>
      </c>
      <c r="D43" s="39"/>
      <c r="E43" s="8">
        <f t="shared" si="0"/>
        <v>3040.5374999999999</v>
      </c>
      <c r="F43" s="30"/>
      <c r="G43" s="31" t="s">
        <v>88</v>
      </c>
      <c r="H43" s="31">
        <v>1701</v>
      </c>
      <c r="I43" s="8">
        <v>0</v>
      </c>
      <c r="J43" s="8">
        <f t="shared" si="115"/>
        <v>1701</v>
      </c>
      <c r="K43" s="4">
        <v>0.43</v>
      </c>
      <c r="L43" s="8">
        <f t="shared" si="108"/>
        <v>731.43</v>
      </c>
      <c r="M43" s="8">
        <f t="shared" si="109"/>
        <v>2432.4299999999998</v>
      </c>
      <c r="N43" s="8">
        <f t="shared" si="110"/>
        <v>608.10749999999996</v>
      </c>
      <c r="O43" s="8">
        <f t="shared" si="111"/>
        <v>3040.5374999999999</v>
      </c>
      <c r="P43" s="8">
        <f t="shared" si="1"/>
        <v>0</v>
      </c>
      <c r="Q43" s="8">
        <f t="shared" si="2"/>
        <v>0</v>
      </c>
      <c r="R43" s="29">
        <v>0</v>
      </c>
      <c r="S43" s="8">
        <f t="shared" si="112"/>
        <v>0</v>
      </c>
      <c r="T43" s="8">
        <f t="shared" si="113"/>
        <v>0</v>
      </c>
      <c r="U43" s="8">
        <f t="shared" si="114"/>
        <v>0</v>
      </c>
    </row>
    <row r="44" spans="1:21" ht="15" customHeight="1" x14ac:dyDescent="0.2">
      <c r="B44" s="1" t="s">
        <v>16</v>
      </c>
      <c r="C44" s="1" t="s">
        <v>67</v>
      </c>
      <c r="D44" s="39"/>
      <c r="E44" s="8">
        <f t="shared" ref="E44:E45" si="123">O44</f>
        <v>1606.2112500000001</v>
      </c>
      <c r="F44" s="16"/>
      <c r="G44" s="21"/>
      <c r="H44" s="21">
        <v>903</v>
      </c>
      <c r="I44" s="8">
        <v>0</v>
      </c>
      <c r="J44" s="8">
        <f t="shared" ref="J44:J45" si="124">H44+I44</f>
        <v>903</v>
      </c>
      <c r="K44" s="4">
        <v>0.42299999999999999</v>
      </c>
      <c r="L44" s="8">
        <f t="shared" ref="L44:L45" si="125">J44*K44</f>
        <v>381.96899999999999</v>
      </c>
      <c r="M44" s="8">
        <f t="shared" ref="M44:M45" si="126">J44+L44</f>
        <v>1284.9690000000001</v>
      </c>
      <c r="N44" s="8">
        <f t="shared" ref="N44:N45" si="127">M44*0.25</f>
        <v>321.24225000000001</v>
      </c>
      <c r="O44" s="8">
        <f t="shared" ref="O44:O45" si="128">M44+N44</f>
        <v>1606.2112500000001</v>
      </c>
      <c r="P44" s="8">
        <f t="shared" si="1"/>
        <v>0</v>
      </c>
      <c r="Q44" s="8">
        <f t="shared" si="2"/>
        <v>0</v>
      </c>
      <c r="R44" s="29">
        <v>0.05</v>
      </c>
      <c r="S44" s="8">
        <f t="shared" ref="S44:S45" si="129">P44*R44</f>
        <v>0</v>
      </c>
      <c r="T44" s="8">
        <f t="shared" ref="T44:T45" si="130">Q44-S44</f>
        <v>0</v>
      </c>
      <c r="U44" s="8">
        <f t="shared" ref="U44:U45" si="131">P44-S44</f>
        <v>0</v>
      </c>
    </row>
    <row r="45" spans="1:21" ht="15" customHeight="1" x14ac:dyDescent="0.2">
      <c r="A45" s="1"/>
      <c r="B45" s="1" t="s">
        <v>16</v>
      </c>
      <c r="C45" s="1" t="s">
        <v>85</v>
      </c>
      <c r="D45" s="39"/>
      <c r="E45" s="8">
        <f t="shared" si="123"/>
        <v>3172.8125</v>
      </c>
      <c r="F45" s="16"/>
      <c r="G45" s="21"/>
      <c r="H45" s="21">
        <v>1775</v>
      </c>
      <c r="I45" s="8">
        <v>0</v>
      </c>
      <c r="J45" s="8">
        <f t="shared" si="124"/>
        <v>1775</v>
      </c>
      <c r="K45" s="4">
        <v>0.43</v>
      </c>
      <c r="L45" s="8">
        <f t="shared" si="125"/>
        <v>763.25</v>
      </c>
      <c r="M45" s="8">
        <f t="shared" si="126"/>
        <v>2538.25</v>
      </c>
      <c r="N45" s="8">
        <f t="shared" si="127"/>
        <v>634.5625</v>
      </c>
      <c r="O45" s="8">
        <f t="shared" si="128"/>
        <v>3172.8125</v>
      </c>
      <c r="P45" s="8">
        <f t="shared" si="1"/>
        <v>0</v>
      </c>
      <c r="Q45" s="8">
        <f t="shared" si="2"/>
        <v>0</v>
      </c>
      <c r="R45" s="29">
        <v>0</v>
      </c>
      <c r="S45" s="8">
        <f t="shared" si="129"/>
        <v>0</v>
      </c>
      <c r="T45" s="8">
        <f t="shared" si="130"/>
        <v>0</v>
      </c>
      <c r="U45" s="8">
        <f t="shared" si="131"/>
        <v>0</v>
      </c>
    </row>
    <row r="46" spans="1:21" ht="15" customHeight="1" x14ac:dyDescent="0.2">
      <c r="A46" s="1"/>
      <c r="B46" s="1" t="s">
        <v>16</v>
      </c>
      <c r="C46" s="1" t="s">
        <v>52</v>
      </c>
      <c r="E46" s="8">
        <f t="shared" ref="E46" si="132">O46</f>
        <v>1372.8</v>
      </c>
      <c r="H46" s="21">
        <v>768</v>
      </c>
      <c r="J46" s="8">
        <f t="shared" ref="J46" si="133">H46+I46</f>
        <v>768</v>
      </c>
      <c r="K46" s="4">
        <v>0.43</v>
      </c>
      <c r="L46" s="8">
        <f t="shared" ref="L46" si="134">J46*K46</f>
        <v>330.24</v>
      </c>
      <c r="M46" s="8">
        <f t="shared" ref="M46" si="135">J46+L46</f>
        <v>1098.24</v>
      </c>
      <c r="N46" s="8">
        <f t="shared" ref="N46" si="136">M46*0.25</f>
        <v>274.56</v>
      </c>
      <c r="O46" s="8">
        <f t="shared" ref="O46" si="137">M46+N46</f>
        <v>1372.8</v>
      </c>
      <c r="P46" s="8">
        <f t="shared" si="1"/>
        <v>0</v>
      </c>
      <c r="Q46" s="8">
        <f t="shared" si="2"/>
        <v>0</v>
      </c>
      <c r="R46" s="29">
        <v>0</v>
      </c>
      <c r="S46" s="8">
        <f t="shared" ref="S46" si="138">P46*R46</f>
        <v>0</v>
      </c>
      <c r="T46" s="8">
        <f t="shared" ref="T46" si="139">Q46-S46</f>
        <v>0</v>
      </c>
      <c r="U46" s="8">
        <f t="shared" ref="U46" si="140">P46-S46</f>
        <v>0</v>
      </c>
    </row>
    <row r="47" spans="1:21" ht="15" hidden="1" customHeight="1" x14ac:dyDescent="0.2">
      <c r="A47" s="1">
        <v>1</v>
      </c>
      <c r="B47" s="1" t="s">
        <v>16</v>
      </c>
      <c r="C47" s="1" t="s">
        <v>34</v>
      </c>
      <c r="E47" s="8">
        <f t="shared" si="0"/>
        <v>487.5</v>
      </c>
      <c r="F47" s="16"/>
      <c r="G47" s="21">
        <v>100</v>
      </c>
      <c r="H47" s="21">
        <f t="shared" ref="H47:H50" si="141">G47*$D$2</f>
        <v>156</v>
      </c>
      <c r="J47" s="8">
        <f t="shared" ref="J47" si="142">H47+I47</f>
        <v>156</v>
      </c>
      <c r="K47" s="4">
        <v>1.5</v>
      </c>
      <c r="L47" s="8">
        <f t="shared" ref="L47" si="143">J47*K47</f>
        <v>234</v>
      </c>
      <c r="M47" s="8">
        <f t="shared" ref="M47" si="144">J47+L47</f>
        <v>390</v>
      </c>
      <c r="N47" s="8">
        <f t="shared" ref="N47" si="145">M47*0.25</f>
        <v>97.5</v>
      </c>
      <c r="O47" s="8">
        <f t="shared" ref="O47" si="146">M47+N47</f>
        <v>487.5</v>
      </c>
      <c r="P47" s="8">
        <f t="shared" si="1"/>
        <v>0</v>
      </c>
      <c r="Q47" s="8">
        <f t="shared" si="2"/>
        <v>0</v>
      </c>
      <c r="R47" s="29">
        <v>0</v>
      </c>
      <c r="S47" s="8">
        <f t="shared" ref="S47" si="147">P47*R47</f>
        <v>0</v>
      </c>
      <c r="T47" s="8">
        <f t="shared" ref="T47" si="148">Q47-S47</f>
        <v>0</v>
      </c>
      <c r="U47" s="8">
        <f t="shared" ref="U47" si="149">P47-S47</f>
        <v>0</v>
      </c>
    </row>
    <row r="48" spans="1:21" ht="15" customHeight="1" x14ac:dyDescent="0.2">
      <c r="B48" s="1" t="s">
        <v>16</v>
      </c>
      <c r="C48" s="1" t="s">
        <v>68</v>
      </c>
      <c r="D48" s="19"/>
      <c r="E48" s="8">
        <f>O48</f>
        <v>4687.5</v>
      </c>
      <c r="H48" s="21">
        <v>2500</v>
      </c>
      <c r="J48" s="8">
        <f>H48+I48</f>
        <v>2500</v>
      </c>
      <c r="K48" s="4">
        <v>0.5</v>
      </c>
      <c r="L48" s="97">
        <f>J48*K48</f>
        <v>1250</v>
      </c>
      <c r="M48" s="8">
        <f>J48+L48</f>
        <v>3750</v>
      </c>
      <c r="N48" s="8">
        <f>M48*0.25</f>
        <v>937.5</v>
      </c>
      <c r="O48" s="8">
        <f>M48+N48</f>
        <v>4687.5</v>
      </c>
      <c r="P48" s="8">
        <f t="shared" si="1"/>
        <v>0</v>
      </c>
      <c r="Q48" s="8">
        <f t="shared" si="2"/>
        <v>0</v>
      </c>
      <c r="R48" s="29"/>
      <c r="S48" s="8">
        <f t="shared" si="19"/>
        <v>0</v>
      </c>
      <c r="T48" s="8">
        <f t="shared" si="20"/>
        <v>0</v>
      </c>
      <c r="U48" s="8">
        <f t="shared" si="21"/>
        <v>0</v>
      </c>
    </row>
    <row r="49" spans="1:21" ht="15" hidden="1" customHeight="1" x14ac:dyDescent="0.2">
      <c r="A49" s="1">
        <v>1</v>
      </c>
      <c r="B49" s="108" t="s">
        <v>16</v>
      </c>
      <c r="C49" s="108" t="s">
        <v>77</v>
      </c>
      <c r="D49" s="109"/>
      <c r="E49" s="105"/>
      <c r="F49" s="129"/>
      <c r="G49" s="106"/>
      <c r="H49" s="106">
        <v>750</v>
      </c>
      <c r="I49" s="105"/>
      <c r="J49" s="105">
        <f>H49+I49</f>
        <v>750</v>
      </c>
      <c r="K49" s="110">
        <v>0.5</v>
      </c>
      <c r="L49" s="105">
        <f>J49*K49</f>
        <v>375</v>
      </c>
      <c r="M49" s="105">
        <f>J49+L49</f>
        <v>1125</v>
      </c>
      <c r="N49" s="105">
        <f>M49*0.25</f>
        <v>281.25</v>
      </c>
      <c r="O49" s="105">
        <f>M49+N49</f>
        <v>1406.25</v>
      </c>
      <c r="P49" s="105">
        <f t="shared" ref="P49" si="150">O49*D49</f>
        <v>0</v>
      </c>
      <c r="Q49" s="105">
        <f t="shared" ref="Q49" si="151">(M49-J49)*D49</f>
        <v>0</v>
      </c>
      <c r="R49" s="107">
        <v>0</v>
      </c>
      <c r="S49" s="105">
        <f t="shared" ref="S49" si="152">P49*R49</f>
        <v>0</v>
      </c>
      <c r="T49" s="105">
        <f t="shared" ref="T49" si="153">Q49-S49</f>
        <v>0</v>
      </c>
      <c r="U49" s="105">
        <f t="shared" ref="U49" si="154">P49-S49</f>
        <v>0</v>
      </c>
    </row>
    <row r="50" spans="1:21" ht="15" hidden="1" customHeight="1" x14ac:dyDescent="0.2">
      <c r="A50" s="1">
        <v>1</v>
      </c>
      <c r="B50" s="1" t="s">
        <v>16</v>
      </c>
      <c r="C50" s="1" t="s">
        <v>54</v>
      </c>
      <c r="D50" s="19"/>
      <c r="E50" s="8">
        <f t="shared" si="0"/>
        <v>40.949999999999996</v>
      </c>
      <c r="G50" s="20">
        <v>12</v>
      </c>
      <c r="H50" s="21">
        <f t="shared" si="141"/>
        <v>18.72</v>
      </c>
      <c r="J50" s="8">
        <f>H50+I50</f>
        <v>18.72</v>
      </c>
      <c r="K50" s="4">
        <v>0.75</v>
      </c>
      <c r="L50" s="8">
        <f>J50*K50</f>
        <v>14.04</v>
      </c>
      <c r="M50" s="8">
        <f>J50+L50</f>
        <v>32.76</v>
      </c>
      <c r="N50" s="8">
        <f>M50*0.25</f>
        <v>8.19</v>
      </c>
      <c r="O50" s="8">
        <f>M50+N50</f>
        <v>40.949999999999996</v>
      </c>
      <c r="P50" s="8">
        <f t="shared" si="1"/>
        <v>0</v>
      </c>
      <c r="Q50" s="8">
        <f t="shared" si="2"/>
        <v>0</v>
      </c>
      <c r="R50" s="29">
        <v>0</v>
      </c>
      <c r="S50" s="8">
        <f t="shared" ref="S50" si="155">P50*R50</f>
        <v>0</v>
      </c>
      <c r="T50" s="8">
        <f t="shared" ref="T50" si="156">Q50-S50</f>
        <v>0</v>
      </c>
      <c r="U50" s="8">
        <f t="shared" ref="U50" si="157">P50-S50</f>
        <v>0</v>
      </c>
    </row>
    <row r="51" spans="1:21" ht="15" customHeight="1" x14ac:dyDescent="0.2">
      <c r="A51" s="1"/>
      <c r="B51" s="1" t="s">
        <v>78</v>
      </c>
      <c r="C51" s="11" t="s">
        <v>123</v>
      </c>
      <c r="D51" s="11">
        <v>1</v>
      </c>
      <c r="E51" s="8">
        <f t="shared" si="0"/>
        <v>51676.3125</v>
      </c>
      <c r="G51" s="91"/>
      <c r="H51" s="20">
        <v>30623</v>
      </c>
      <c r="I51" s="27"/>
      <c r="J51" s="27">
        <f t="shared" ref="J51" si="158">H51+I51</f>
        <v>30623</v>
      </c>
      <c r="K51" s="28">
        <v>0.35</v>
      </c>
      <c r="L51" s="27">
        <f t="shared" ref="L51" si="159">J51*K51</f>
        <v>10718.05</v>
      </c>
      <c r="M51" s="27">
        <f t="shared" ref="M51" si="160">J51+L51</f>
        <v>41341.050000000003</v>
      </c>
      <c r="N51" s="27">
        <f t="shared" ref="N51" si="161">M51*0.25</f>
        <v>10335.262500000001</v>
      </c>
      <c r="O51" s="27">
        <f t="shared" ref="O51" si="162">M51+N51</f>
        <v>51676.3125</v>
      </c>
      <c r="P51" s="8">
        <f t="shared" si="1"/>
        <v>51676.3125</v>
      </c>
      <c r="Q51" s="8">
        <f t="shared" si="2"/>
        <v>10718.050000000003</v>
      </c>
      <c r="R51" s="29">
        <v>0.04</v>
      </c>
      <c r="S51" s="8">
        <f t="shared" si="19"/>
        <v>2067.0525000000002</v>
      </c>
      <c r="T51" s="8">
        <f t="shared" si="20"/>
        <v>8650.9975000000031</v>
      </c>
      <c r="U51" s="8">
        <f t="shared" si="21"/>
        <v>49609.26</v>
      </c>
    </row>
    <row r="52" spans="1:21" ht="15" customHeight="1" x14ac:dyDescent="0.2">
      <c r="A52" s="1"/>
      <c r="B52" s="1" t="s">
        <v>78</v>
      </c>
      <c r="C52" s="11" t="s">
        <v>139</v>
      </c>
      <c r="D52" s="11">
        <v>1</v>
      </c>
      <c r="E52" s="8">
        <f t="shared" si="0"/>
        <v>53687.8125</v>
      </c>
      <c r="G52" s="91"/>
      <c r="H52" s="20">
        <v>31815</v>
      </c>
      <c r="I52" s="27"/>
      <c r="J52" s="27">
        <f t="shared" ref="J52" si="163">H52+I52</f>
        <v>31815</v>
      </c>
      <c r="K52" s="28">
        <v>0.35</v>
      </c>
      <c r="L52" s="27">
        <f t="shared" ref="L52" si="164">J52*K52</f>
        <v>11135.25</v>
      </c>
      <c r="M52" s="27">
        <f t="shared" ref="M52" si="165">J52+L52</f>
        <v>42950.25</v>
      </c>
      <c r="N52" s="27">
        <f t="shared" ref="N52" si="166">M52*0.25</f>
        <v>10737.5625</v>
      </c>
      <c r="O52" s="27">
        <f t="shared" ref="O52" si="167">M52+N52</f>
        <v>53687.8125</v>
      </c>
      <c r="P52" s="8">
        <f t="shared" ref="P52" si="168">O52*D52</f>
        <v>53687.8125</v>
      </c>
      <c r="Q52" s="8">
        <f t="shared" ref="Q52" si="169">(M52-J52)*D52</f>
        <v>11135.25</v>
      </c>
      <c r="R52" s="29">
        <v>0.04</v>
      </c>
      <c r="S52" s="8">
        <f t="shared" ref="S52" si="170">P52*R52</f>
        <v>2147.5124999999998</v>
      </c>
      <c r="T52" s="8">
        <f t="shared" ref="T52" si="171">Q52-S52</f>
        <v>8987.7374999999993</v>
      </c>
      <c r="U52" s="8">
        <f t="shared" ref="U52" si="172">P52-S52</f>
        <v>51540.3</v>
      </c>
    </row>
    <row r="53" spans="1:21" ht="15" customHeight="1" x14ac:dyDescent="0.2">
      <c r="A53" s="1"/>
      <c r="B53" s="1" t="s">
        <v>78</v>
      </c>
      <c r="C53" s="11" t="s">
        <v>124</v>
      </c>
      <c r="D53" s="19"/>
      <c r="E53" s="8">
        <f>O53</f>
        <v>3695.625</v>
      </c>
      <c r="F53" s="160"/>
      <c r="G53" s="91"/>
      <c r="H53" s="21">
        <v>2190</v>
      </c>
      <c r="I53" s="27"/>
      <c r="J53" s="27">
        <f>H53+I53</f>
        <v>2190</v>
      </c>
      <c r="K53" s="28">
        <v>0.35</v>
      </c>
      <c r="L53" s="27">
        <f>J53*K53</f>
        <v>766.5</v>
      </c>
      <c r="M53" s="27">
        <f>J53+L53</f>
        <v>2956.5</v>
      </c>
      <c r="N53" s="27">
        <f>M53*0.25</f>
        <v>739.125</v>
      </c>
      <c r="O53" s="27">
        <f>M53+N53</f>
        <v>3695.625</v>
      </c>
      <c r="P53" s="8">
        <f>O53*D53</f>
        <v>0</v>
      </c>
      <c r="Q53" s="8">
        <f>(M53-J53)*D53</f>
        <v>0</v>
      </c>
      <c r="R53" s="29">
        <v>0</v>
      </c>
      <c r="S53" s="8">
        <f>P53*R53</f>
        <v>0</v>
      </c>
      <c r="T53" s="8">
        <f>Q53-S53</f>
        <v>0</v>
      </c>
      <c r="U53" s="8">
        <f>P53-S53</f>
        <v>0</v>
      </c>
    </row>
    <row r="54" spans="1:21" ht="15" customHeight="1" x14ac:dyDescent="0.2">
      <c r="A54" s="1"/>
      <c r="B54" s="1" t="s">
        <v>78</v>
      </c>
      <c r="C54" s="11" t="s">
        <v>125</v>
      </c>
      <c r="D54" s="19"/>
      <c r="E54" s="8">
        <f>O54</f>
        <v>911.25</v>
      </c>
      <c r="G54" s="91"/>
      <c r="H54" s="21">
        <v>540</v>
      </c>
      <c r="I54" s="27"/>
      <c r="J54" s="27">
        <f t="shared" ref="J54:J56" si="173">H54+I54</f>
        <v>540</v>
      </c>
      <c r="K54" s="28">
        <v>0.35</v>
      </c>
      <c r="L54" s="27">
        <f t="shared" ref="L54:L56" si="174">J54*K54</f>
        <v>189</v>
      </c>
      <c r="M54" s="27">
        <f t="shared" ref="M54:M56" si="175">J54+L54</f>
        <v>729</v>
      </c>
      <c r="N54" s="27">
        <f t="shared" ref="N54:N56" si="176">M54*0.25</f>
        <v>182.25</v>
      </c>
      <c r="O54" s="27">
        <f t="shared" ref="O54:O56" si="177">M54+N54</f>
        <v>911.25</v>
      </c>
      <c r="P54" s="8">
        <f t="shared" ref="P54:P56" si="178">O54*D54</f>
        <v>0</v>
      </c>
      <c r="Q54" s="8">
        <f t="shared" ref="Q54:Q56" si="179">(M54-J54)*D54</f>
        <v>0</v>
      </c>
      <c r="R54" s="29">
        <v>0.05</v>
      </c>
      <c r="S54" s="8">
        <f t="shared" ref="S54:S56" si="180">P54*R54</f>
        <v>0</v>
      </c>
      <c r="T54" s="8">
        <f t="shared" ref="T54:T56" si="181">Q54-S54</f>
        <v>0</v>
      </c>
      <c r="U54" s="8">
        <f t="shared" ref="U54:U56" si="182">P54-S54</f>
        <v>0</v>
      </c>
    </row>
    <row r="55" spans="1:21" ht="15" customHeight="1" x14ac:dyDescent="0.2">
      <c r="A55" s="1"/>
      <c r="B55" s="1" t="s">
        <v>86</v>
      </c>
      <c r="C55" s="11" t="s">
        <v>126</v>
      </c>
      <c r="D55" s="19"/>
      <c r="E55" s="8">
        <f>O55</f>
        <v>540</v>
      </c>
      <c r="F55" s="160"/>
      <c r="G55" s="91"/>
      <c r="H55" s="21">
        <v>320</v>
      </c>
      <c r="I55" s="27"/>
      <c r="J55" s="27">
        <f t="shared" si="173"/>
        <v>320</v>
      </c>
      <c r="K55" s="28">
        <v>0.35</v>
      </c>
      <c r="L55" s="27">
        <f t="shared" si="174"/>
        <v>112</v>
      </c>
      <c r="M55" s="27">
        <f t="shared" si="175"/>
        <v>432</v>
      </c>
      <c r="N55" s="27">
        <f t="shared" si="176"/>
        <v>108</v>
      </c>
      <c r="O55" s="27">
        <f t="shared" si="177"/>
        <v>540</v>
      </c>
      <c r="P55" s="8">
        <f t="shared" si="178"/>
        <v>0</v>
      </c>
      <c r="Q55" s="8">
        <f t="shared" si="179"/>
        <v>0</v>
      </c>
      <c r="R55" s="29">
        <v>0.1</v>
      </c>
      <c r="S55" s="8">
        <f t="shared" ref="S55" si="183">P55*R55</f>
        <v>0</v>
      </c>
      <c r="T55" s="8">
        <f t="shared" ref="T55" si="184">Q55-S55</f>
        <v>0</v>
      </c>
      <c r="U55" s="8">
        <f t="shared" ref="U55" si="185">P55-S55</f>
        <v>0</v>
      </c>
    </row>
    <row r="56" spans="1:21" ht="15" customHeight="1" x14ac:dyDescent="0.2">
      <c r="A56" s="1"/>
      <c r="B56" s="1" t="s">
        <v>78</v>
      </c>
      <c r="C56" s="11" t="s">
        <v>127</v>
      </c>
      <c r="D56" s="19"/>
      <c r="E56" s="8">
        <f t="shared" si="0"/>
        <v>900</v>
      </c>
      <c r="G56" s="91"/>
      <c r="H56" s="21">
        <v>600</v>
      </c>
      <c r="I56" s="27"/>
      <c r="J56" s="27">
        <f t="shared" si="173"/>
        <v>600</v>
      </c>
      <c r="K56" s="28">
        <v>0.2</v>
      </c>
      <c r="L56" s="27">
        <f t="shared" si="174"/>
        <v>120</v>
      </c>
      <c r="M56" s="27">
        <f t="shared" si="175"/>
        <v>720</v>
      </c>
      <c r="N56" s="27">
        <f t="shared" si="176"/>
        <v>180</v>
      </c>
      <c r="O56" s="27">
        <f t="shared" si="177"/>
        <v>900</v>
      </c>
      <c r="P56" s="8">
        <f t="shared" si="178"/>
        <v>0</v>
      </c>
      <c r="Q56" s="8">
        <f t="shared" si="179"/>
        <v>0</v>
      </c>
      <c r="R56" s="29">
        <v>0</v>
      </c>
      <c r="S56" s="8">
        <f t="shared" si="180"/>
        <v>0</v>
      </c>
      <c r="T56" s="8">
        <f t="shared" si="181"/>
        <v>0</v>
      </c>
      <c r="U56" s="8">
        <f t="shared" si="182"/>
        <v>0</v>
      </c>
    </row>
    <row r="57" spans="1:21" ht="15" customHeight="1" x14ac:dyDescent="0.2">
      <c r="A57" s="1"/>
      <c r="B57" s="1" t="s">
        <v>92</v>
      </c>
      <c r="C57" s="1" t="s">
        <v>130</v>
      </c>
      <c r="E57" s="8">
        <f t="shared" ref="E57:E61" si="186">O57</f>
        <v>20874.5625</v>
      </c>
      <c r="G57" s="21"/>
      <c r="H57" s="21">
        <v>11517</v>
      </c>
      <c r="J57" s="8">
        <f t="shared" ref="J57:J61" si="187">H57+I57</f>
        <v>11517</v>
      </c>
      <c r="K57" s="4">
        <v>0.45</v>
      </c>
      <c r="L57" s="8">
        <f t="shared" ref="L57:L58" si="188">J57*K57</f>
        <v>5182.6500000000005</v>
      </c>
      <c r="M57" s="8">
        <f t="shared" ref="M57:M58" si="189">J57+L57</f>
        <v>16699.650000000001</v>
      </c>
      <c r="N57" s="8">
        <f t="shared" ref="N57:N58" si="190">M57*0.25</f>
        <v>4174.9125000000004</v>
      </c>
      <c r="O57" s="8">
        <f t="shared" ref="O57:O58" si="191">M57+N57</f>
        <v>20874.5625</v>
      </c>
      <c r="P57" s="8">
        <f t="shared" ref="P57:P58" si="192">O57*D57</f>
        <v>0</v>
      </c>
      <c r="Q57" s="8">
        <f t="shared" ref="Q57:Q58" si="193">(M57-J57)*D57</f>
        <v>0</v>
      </c>
      <c r="R57" s="29">
        <v>7.0000000000000007E-2</v>
      </c>
      <c r="S57" s="8">
        <f t="shared" ref="S57:S58" si="194">P57*R57</f>
        <v>0</v>
      </c>
      <c r="T57" s="8">
        <f t="shared" ref="T57:T58" si="195">Q57-S57</f>
        <v>0</v>
      </c>
      <c r="U57" s="8">
        <f t="shared" ref="U57:U58" si="196">P57-S57</f>
        <v>0</v>
      </c>
    </row>
    <row r="58" spans="1:21" ht="15" customHeight="1" x14ac:dyDescent="0.2">
      <c r="A58" s="1"/>
      <c r="B58" s="1" t="s">
        <v>92</v>
      </c>
      <c r="C58" s="1" t="s">
        <v>131</v>
      </c>
      <c r="E58" s="8">
        <f t="shared" si="186"/>
        <v>37578.5625</v>
      </c>
      <c r="G58" s="21"/>
      <c r="H58" s="21">
        <v>20733</v>
      </c>
      <c r="J58" s="8">
        <f t="shared" si="187"/>
        <v>20733</v>
      </c>
      <c r="K58" s="4">
        <v>0.45</v>
      </c>
      <c r="L58" s="8">
        <f t="shared" si="188"/>
        <v>9329.85</v>
      </c>
      <c r="M58" s="8">
        <f t="shared" si="189"/>
        <v>30062.85</v>
      </c>
      <c r="N58" s="8">
        <f t="shared" si="190"/>
        <v>7515.7124999999996</v>
      </c>
      <c r="O58" s="8">
        <f t="shared" si="191"/>
        <v>37578.5625</v>
      </c>
      <c r="P58" s="8">
        <f t="shared" si="192"/>
        <v>0</v>
      </c>
      <c r="Q58" s="8">
        <f t="shared" si="193"/>
        <v>0</v>
      </c>
      <c r="R58" s="29">
        <v>7.0000000000000007E-2</v>
      </c>
      <c r="S58" s="8">
        <f t="shared" si="194"/>
        <v>0</v>
      </c>
      <c r="T58" s="8">
        <f t="shared" si="195"/>
        <v>0</v>
      </c>
      <c r="U58" s="8">
        <f t="shared" si="196"/>
        <v>0</v>
      </c>
    </row>
    <row r="59" spans="1:21" ht="15" customHeight="1" x14ac:dyDescent="0.2">
      <c r="A59" s="1"/>
      <c r="B59" s="1" t="s">
        <v>92</v>
      </c>
      <c r="C59" s="126" t="s">
        <v>101</v>
      </c>
      <c r="E59" s="8">
        <f t="shared" ref="E59" si="197">O59</f>
        <v>1758.6000000000001</v>
      </c>
      <c r="G59" s="21"/>
      <c r="H59" s="21">
        <v>977</v>
      </c>
      <c r="J59" s="8">
        <f t="shared" ref="J59" si="198">H59+I59</f>
        <v>977</v>
      </c>
      <c r="K59" s="4">
        <v>0.44</v>
      </c>
      <c r="L59" s="8">
        <f t="shared" ref="L59" si="199">J59*K59</f>
        <v>429.88</v>
      </c>
      <c r="M59" s="8">
        <f t="shared" ref="M59" si="200">J59+L59</f>
        <v>1406.88</v>
      </c>
      <c r="N59" s="8">
        <f t="shared" ref="N59" si="201">M59*0.25</f>
        <v>351.72</v>
      </c>
      <c r="O59" s="8">
        <f t="shared" ref="O59" si="202">M59+N59</f>
        <v>1758.6000000000001</v>
      </c>
      <c r="P59" s="8">
        <f t="shared" ref="P59" si="203">O59*D59</f>
        <v>0</v>
      </c>
      <c r="Q59" s="8">
        <f t="shared" ref="Q59" si="204">(M59-J59)*D59</f>
        <v>0</v>
      </c>
      <c r="R59" s="29">
        <v>0</v>
      </c>
      <c r="S59" s="8">
        <f t="shared" ref="S59" si="205">P59*R59</f>
        <v>0</v>
      </c>
      <c r="T59" s="8">
        <f t="shared" ref="T59" si="206">Q59-S59</f>
        <v>0</v>
      </c>
      <c r="U59" s="8">
        <f t="shared" ref="U59" si="207">P59-S59</f>
        <v>0</v>
      </c>
    </row>
    <row r="60" spans="1:21" ht="15" customHeight="1" x14ac:dyDescent="0.2">
      <c r="A60" s="1"/>
      <c r="B60" s="1" t="s">
        <v>92</v>
      </c>
      <c r="C60" s="1" t="s">
        <v>94</v>
      </c>
      <c r="E60" s="8">
        <f>O60</f>
        <v>1832.4375</v>
      </c>
      <c r="G60" s="21"/>
      <c r="H60" s="21">
        <v>1011</v>
      </c>
      <c r="J60" s="8">
        <f>H60+I60</f>
        <v>1011</v>
      </c>
      <c r="K60" s="4">
        <v>0.45</v>
      </c>
      <c r="L60" s="8">
        <f>J60*K60</f>
        <v>454.95</v>
      </c>
      <c r="M60" s="8">
        <f>J60+L60</f>
        <v>1465.95</v>
      </c>
      <c r="N60" s="8">
        <f>M60*0.25</f>
        <v>366.48750000000001</v>
      </c>
      <c r="O60" s="8">
        <f>M60+N60</f>
        <v>1832.4375</v>
      </c>
      <c r="P60" s="8">
        <f>O60*D60</f>
        <v>0</v>
      </c>
      <c r="Q60" s="8">
        <f>(M60-J60)*D60</f>
        <v>0</v>
      </c>
      <c r="R60" s="29">
        <v>0.05</v>
      </c>
      <c r="S60" s="8">
        <f>P60*R60</f>
        <v>0</v>
      </c>
      <c r="T60" s="8">
        <f>Q60-S60</f>
        <v>0</v>
      </c>
      <c r="U60" s="8">
        <f>P60-S60</f>
        <v>0</v>
      </c>
    </row>
    <row r="61" spans="1:21" ht="15" customHeight="1" x14ac:dyDescent="0.2">
      <c r="A61" s="1"/>
      <c r="B61" s="1" t="s">
        <v>93</v>
      </c>
      <c r="C61" s="1" t="s">
        <v>95</v>
      </c>
      <c r="E61" s="8">
        <f t="shared" si="186"/>
        <v>3900.5</v>
      </c>
      <c r="G61" s="1"/>
      <c r="H61" s="21">
        <v>2152</v>
      </c>
      <c r="J61" s="8">
        <f t="shared" si="187"/>
        <v>2152</v>
      </c>
      <c r="K61" s="4">
        <v>0.45</v>
      </c>
      <c r="L61" s="8">
        <f t="shared" ref="L61" si="208">J61*K61</f>
        <v>968.4</v>
      </c>
      <c r="M61" s="8">
        <f t="shared" ref="M61" si="209">J61+L61</f>
        <v>3120.4</v>
      </c>
      <c r="N61" s="8">
        <f t="shared" ref="N61" si="210">M61*0.25</f>
        <v>780.1</v>
      </c>
      <c r="O61" s="8">
        <f t="shared" ref="O61" si="211">M61+N61</f>
        <v>3900.5</v>
      </c>
      <c r="P61" s="8">
        <f t="shared" ref="P61" si="212">O61*D61</f>
        <v>0</v>
      </c>
      <c r="Q61" s="8">
        <f t="shared" ref="Q61" si="213">(M61-J61)*D61</f>
        <v>0</v>
      </c>
      <c r="R61" s="29">
        <v>0.05</v>
      </c>
      <c r="S61" s="8">
        <f t="shared" ref="S61" si="214">P61*R61</f>
        <v>0</v>
      </c>
      <c r="T61" s="8">
        <f t="shared" ref="T61" si="215">Q61-S61</f>
        <v>0</v>
      </c>
      <c r="U61" s="8">
        <f t="shared" ref="U61" si="216">P61-S61</f>
        <v>0</v>
      </c>
    </row>
    <row r="62" spans="1:21" s="126" customFormat="1" ht="15" customHeight="1" x14ac:dyDescent="0.2">
      <c r="A62" s="162"/>
      <c r="D62" s="125"/>
      <c r="E62" s="127"/>
      <c r="F62" s="125"/>
      <c r="G62" s="20"/>
      <c r="H62" s="20"/>
      <c r="I62" s="127"/>
      <c r="J62" s="127"/>
      <c r="K62" s="128"/>
      <c r="L62" s="140"/>
      <c r="M62" s="127"/>
      <c r="N62" s="127"/>
      <c r="O62" s="127"/>
      <c r="P62" s="127">
        <f>SUBTOTAL(9,P9:P61)</f>
        <v>105364.125</v>
      </c>
      <c r="Q62" s="127">
        <f>SUBTOTAL(9,Q9:Q61)</f>
        <v>21853.300000000003</v>
      </c>
      <c r="S62" s="127">
        <f>SUBTOTAL(9,S11:S48)</f>
        <v>0</v>
      </c>
      <c r="T62" s="127">
        <f>SUBTOTAL(9,T9:T61)</f>
        <v>17638.735000000001</v>
      </c>
      <c r="U62" s="127">
        <f>SUBTOTAL(9,U9:U61)</f>
        <v>101149.56</v>
      </c>
    </row>
    <row r="63" spans="1:21" ht="15" customHeight="1" x14ac:dyDescent="0.2">
      <c r="G63" s="21"/>
      <c r="H63" s="21"/>
    </row>
    <row r="64" spans="1:21" ht="15" customHeight="1" x14ac:dyDescent="0.2">
      <c r="G64" s="21"/>
      <c r="H64" s="21"/>
    </row>
    <row r="65" spans="7:8" ht="15" customHeight="1" x14ac:dyDescent="0.2">
      <c r="G65" s="21"/>
      <c r="H65" s="21"/>
    </row>
    <row r="66" spans="7:8" ht="15" customHeight="1" x14ac:dyDescent="0.2">
      <c r="G66" s="21"/>
      <c r="H66" s="21"/>
    </row>
    <row r="67" spans="7:8" ht="15" customHeight="1" x14ac:dyDescent="0.2">
      <c r="G67" s="21"/>
      <c r="H67" s="21"/>
    </row>
    <row r="68" spans="7:8" ht="15" customHeight="1" x14ac:dyDescent="0.2">
      <c r="G68" s="21"/>
      <c r="H68" s="21"/>
    </row>
    <row r="69" spans="7:8" ht="15" customHeight="1" x14ac:dyDescent="0.2">
      <c r="G69" s="21"/>
      <c r="H69" s="21"/>
    </row>
    <row r="70" spans="7:8" ht="15" customHeight="1" x14ac:dyDescent="0.2">
      <c r="G70" s="21"/>
      <c r="H70" s="21"/>
    </row>
    <row r="71" spans="7:8" ht="15" customHeight="1" x14ac:dyDescent="0.2">
      <c r="G71" s="21"/>
      <c r="H71" s="21"/>
    </row>
    <row r="72" spans="7:8" ht="15" customHeight="1" x14ac:dyDescent="0.2">
      <c r="G72" s="21"/>
      <c r="H72" s="21"/>
    </row>
    <row r="73" spans="7:8" ht="15" customHeight="1" x14ac:dyDescent="0.2">
      <c r="G73" s="21"/>
      <c r="H73" s="21"/>
    </row>
  </sheetData>
  <autoFilter ref="A8:U61">
    <filterColumn colId="0">
      <filters blank="1"/>
    </filterColumn>
  </autoFilter>
  <mergeCells count="1">
    <mergeCell ref="E3:E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4:D43"/>
  <sheetViews>
    <sheetView showZeros="0" view="pageLayout" topLeftCell="A4" zoomScaleNormal="100" workbookViewId="0">
      <selection activeCell="C17" sqref="C17"/>
    </sheetView>
  </sheetViews>
  <sheetFormatPr defaultColWidth="9.140625" defaultRowHeight="14.25" x14ac:dyDescent="0.2"/>
  <cols>
    <col min="1" max="1" width="50.5703125" style="1" customWidth="1"/>
    <col min="2" max="2" width="7.7109375" style="5" customWidth="1"/>
    <col min="3" max="3" width="15" style="46" customWidth="1"/>
    <col min="4" max="4" width="18.85546875" style="46" customWidth="1"/>
    <col min="5" max="16384" width="9.140625" style="1"/>
  </cols>
  <sheetData>
    <row r="4" spans="1:4" x14ac:dyDescent="0.2">
      <c r="C4" s="47" t="s">
        <v>7</v>
      </c>
      <c r="D4" s="51"/>
    </row>
    <row r="8" spans="1:4" x14ac:dyDescent="0.2">
      <c r="A8" s="184" t="s">
        <v>46</v>
      </c>
      <c r="B8" s="184"/>
      <c r="C8" s="184"/>
      <c r="D8" s="184"/>
    </row>
    <row r="9" spans="1:4" x14ac:dyDescent="0.2">
      <c r="B9" s="41"/>
      <c r="C9" s="41"/>
      <c r="D9" s="41"/>
    </row>
    <row r="10" spans="1:4" ht="163.5" customHeight="1" x14ac:dyDescent="0.2">
      <c r="A10" s="182" t="s">
        <v>137</v>
      </c>
      <c r="B10" s="182"/>
      <c r="C10" s="182"/>
      <c r="D10" s="182"/>
    </row>
    <row r="11" spans="1:4" x14ac:dyDescent="0.2">
      <c r="A11" s="24"/>
      <c r="C11" s="23"/>
      <c r="D11" s="6"/>
    </row>
    <row r="12" spans="1:4" x14ac:dyDescent="0.2">
      <c r="C12" s="48"/>
    </row>
    <row r="13" spans="1:4" x14ac:dyDescent="0.2">
      <c r="A13" s="60" t="s">
        <v>42</v>
      </c>
      <c r="B13" s="61" t="s">
        <v>37</v>
      </c>
      <c r="C13" s="62" t="s">
        <v>36</v>
      </c>
      <c r="D13" s="63" t="s">
        <v>35</v>
      </c>
    </row>
    <row r="14" spans="1:4" x14ac:dyDescent="0.2">
      <c r="A14" s="26"/>
      <c r="B14" s="44"/>
      <c r="C14" s="49"/>
      <c r="D14" s="48">
        <f>B14*C14</f>
        <v>0</v>
      </c>
    </row>
    <row r="15" spans="1:4" x14ac:dyDescent="0.2">
      <c r="A15" s="41"/>
      <c r="B15" s="41"/>
      <c r="C15" s="49"/>
      <c r="D15" s="48">
        <f t="shared" ref="D15:D25" si="0">B15*C15</f>
        <v>0</v>
      </c>
    </row>
    <row r="16" spans="1:4" x14ac:dyDescent="0.2">
      <c r="A16" s="41"/>
      <c r="B16" s="44"/>
      <c r="C16" s="49"/>
      <c r="D16" s="48">
        <f t="shared" si="0"/>
        <v>0</v>
      </c>
    </row>
    <row r="17" spans="1:4" x14ac:dyDescent="0.2">
      <c r="A17" s="41"/>
      <c r="B17" s="44"/>
      <c r="C17" s="49"/>
      <c r="D17" s="48">
        <f t="shared" si="0"/>
        <v>0</v>
      </c>
    </row>
    <row r="18" spans="1:4" x14ac:dyDescent="0.2">
      <c r="A18" s="41"/>
      <c r="B18" s="44"/>
      <c r="C18" s="49"/>
      <c r="D18" s="48">
        <f t="shared" si="0"/>
        <v>0</v>
      </c>
    </row>
    <row r="19" spans="1:4" x14ac:dyDescent="0.2">
      <c r="A19" s="41"/>
      <c r="B19" s="44"/>
      <c r="C19" s="49"/>
      <c r="D19" s="48">
        <f t="shared" si="0"/>
        <v>0</v>
      </c>
    </row>
    <row r="20" spans="1:4" x14ac:dyDescent="0.2">
      <c r="A20" s="41"/>
      <c r="B20" s="44"/>
      <c r="C20" s="49"/>
      <c r="D20" s="48">
        <f t="shared" si="0"/>
        <v>0</v>
      </c>
    </row>
    <row r="21" spans="1:4" x14ac:dyDescent="0.2">
      <c r="A21" s="42"/>
      <c r="B21" s="44"/>
      <c r="C21" s="49"/>
      <c r="D21" s="48">
        <f t="shared" si="0"/>
        <v>0</v>
      </c>
    </row>
    <row r="22" spans="1:4" x14ac:dyDescent="0.2">
      <c r="A22" s="43"/>
      <c r="C22" s="49"/>
      <c r="D22" s="48">
        <f t="shared" si="0"/>
        <v>0</v>
      </c>
    </row>
    <row r="23" spans="1:4" x14ac:dyDescent="0.2">
      <c r="A23" s="43"/>
      <c r="C23" s="49"/>
      <c r="D23" s="48">
        <f t="shared" si="0"/>
        <v>0</v>
      </c>
    </row>
    <row r="24" spans="1:4" x14ac:dyDescent="0.2">
      <c r="A24" s="26" t="s">
        <v>2</v>
      </c>
      <c r="B24" s="45">
        <v>0</v>
      </c>
      <c r="C24" s="49"/>
      <c r="D24" s="48">
        <f t="shared" si="0"/>
        <v>0</v>
      </c>
    </row>
    <row r="25" spans="1:4" x14ac:dyDescent="0.2">
      <c r="A25" s="26"/>
      <c r="C25" s="49"/>
      <c r="D25" s="48">
        <f t="shared" si="0"/>
        <v>0</v>
      </c>
    </row>
    <row r="26" spans="1:4" x14ac:dyDescent="0.2">
      <c r="A26" s="26"/>
      <c r="C26" s="50" t="s">
        <v>8</v>
      </c>
      <c r="D26" s="92">
        <f>SUM(D14:D25)</f>
        <v>0</v>
      </c>
    </row>
    <row r="27" spans="1:4" x14ac:dyDescent="0.2">
      <c r="A27" s="26"/>
      <c r="C27" s="46" t="s">
        <v>9</v>
      </c>
      <c r="D27" s="48"/>
    </row>
    <row r="28" spans="1:4" x14ac:dyDescent="0.2">
      <c r="A28" s="26"/>
      <c r="C28" s="50"/>
      <c r="D28" s="92">
        <f>D26+D27</f>
        <v>0</v>
      </c>
    </row>
    <row r="29" spans="1:4" x14ac:dyDescent="0.2">
      <c r="A29" s="25"/>
      <c r="D29" s="48"/>
    </row>
    <row r="30" spans="1:4" x14ac:dyDescent="0.2">
      <c r="A30" s="25"/>
      <c r="B30" s="5" t="s">
        <v>11</v>
      </c>
      <c r="D30" s="48">
        <f>D28/5</f>
        <v>0</v>
      </c>
    </row>
    <row r="31" spans="1:4" x14ac:dyDescent="0.2">
      <c r="B31" s="41"/>
      <c r="C31" s="41"/>
    </row>
    <row r="33" spans="1:4" x14ac:dyDescent="0.2">
      <c r="B33" s="24"/>
    </row>
    <row r="34" spans="1:4" x14ac:dyDescent="0.2">
      <c r="B34" s="24"/>
    </row>
    <row r="35" spans="1:4" x14ac:dyDescent="0.2">
      <c r="B35" s="46"/>
      <c r="D35" s="52"/>
    </row>
    <row r="36" spans="1:4" x14ac:dyDescent="0.2">
      <c r="B36" s="41"/>
      <c r="C36" s="41"/>
    </row>
    <row r="37" spans="1:4" x14ac:dyDescent="0.2">
      <c r="B37" s="41"/>
      <c r="C37" s="41"/>
      <c r="D37" s="48"/>
    </row>
    <row r="38" spans="1:4" x14ac:dyDescent="0.2">
      <c r="B38" s="41"/>
      <c r="D38" s="48"/>
    </row>
    <row r="39" spans="1:4" x14ac:dyDescent="0.2">
      <c r="B39" s="41"/>
      <c r="D39" s="53"/>
    </row>
    <row r="40" spans="1:4" x14ac:dyDescent="0.2">
      <c r="A40" s="18"/>
    </row>
    <row r="41" spans="1:4" ht="5.25" customHeight="1" x14ac:dyDescent="0.2">
      <c r="A41" s="18"/>
    </row>
    <row r="42" spans="1:4" x14ac:dyDescent="0.2">
      <c r="A42" s="17"/>
    </row>
    <row r="43" spans="1:4" x14ac:dyDescent="0.2">
      <c r="A43" s="183"/>
      <c r="B43" s="183"/>
      <c r="C43" s="183"/>
      <c r="D43" s="183"/>
    </row>
  </sheetData>
  <mergeCells count="3">
    <mergeCell ref="A10:D10"/>
    <mergeCell ref="A43:D43"/>
    <mergeCell ref="A8:D8"/>
  </mergeCells>
  <pageMargins left="0.25" right="0.25" top="0.75" bottom="0.75" header="0.3" footer="0.3"/>
  <pageSetup paperSize="9" orientation="portrait" r:id="rId1"/>
  <headerFooter>
    <oddHeader xml:space="preserve">&amp;R
</oddHeader>
    <oddFooter xml:space="preserve">&amp;CVikerseterveien 1046, 3516 Hønefoss -  Org.nr 924 419 849
Mobil. 95 33 62 55 Info@zolas.no - www.zolas.no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D30"/>
  <sheetViews>
    <sheetView showZeros="0" view="pageLayout" zoomScaleNormal="100" workbookViewId="0">
      <selection activeCell="D16" sqref="D16"/>
    </sheetView>
  </sheetViews>
  <sheetFormatPr defaultColWidth="9.140625" defaultRowHeight="14.25" x14ac:dyDescent="0.2"/>
  <cols>
    <col min="1" max="1" width="51.7109375" style="1" customWidth="1"/>
    <col min="2" max="2" width="7.7109375" style="1" customWidth="1"/>
    <col min="3" max="3" width="13.28515625" style="4" customWidth="1"/>
    <col min="4" max="4" width="19.7109375" style="4" customWidth="1"/>
    <col min="5" max="5" width="11" style="1" customWidth="1"/>
    <col min="6" max="16384" width="9.140625" style="1"/>
  </cols>
  <sheetData>
    <row r="1" spans="1:4" x14ac:dyDescent="0.2">
      <c r="B1" s="2"/>
    </row>
    <row r="2" spans="1:4" x14ac:dyDescent="0.2">
      <c r="B2" s="2"/>
    </row>
    <row r="3" spans="1:4" x14ac:dyDescent="0.2">
      <c r="B3" s="2"/>
    </row>
    <row r="4" spans="1:4" x14ac:dyDescent="0.2">
      <c r="B4" s="2"/>
      <c r="C4" s="3" t="s">
        <v>7</v>
      </c>
    </row>
    <row r="5" spans="1:4" x14ac:dyDescent="0.2">
      <c r="B5" s="2"/>
    </row>
    <row r="6" spans="1:4" x14ac:dyDescent="0.2">
      <c r="B6" s="2"/>
    </row>
    <row r="7" spans="1:4" x14ac:dyDescent="0.2">
      <c r="B7" s="2"/>
    </row>
    <row r="8" spans="1:4" x14ac:dyDescent="0.2">
      <c r="A8" s="184" t="s">
        <v>47</v>
      </c>
      <c r="B8" s="184"/>
      <c r="C8" s="184"/>
      <c r="D8" s="184"/>
    </row>
    <row r="9" spans="1:4" x14ac:dyDescent="0.2">
      <c r="C9" s="1"/>
      <c r="D9" s="1"/>
    </row>
    <row r="10" spans="1:4" ht="117.75" customHeight="1" x14ac:dyDescent="0.2">
      <c r="A10" s="182" t="s">
        <v>138</v>
      </c>
      <c r="B10" s="182"/>
      <c r="C10" s="182"/>
      <c r="D10" s="182"/>
    </row>
    <row r="11" spans="1:4" x14ac:dyDescent="0.2">
      <c r="A11" s="24"/>
      <c r="B11" s="5"/>
      <c r="C11" s="6"/>
      <c r="D11" s="6"/>
    </row>
    <row r="12" spans="1:4" x14ac:dyDescent="0.2">
      <c r="B12" s="2"/>
    </row>
    <row r="13" spans="1:4" x14ac:dyDescent="0.2">
      <c r="A13" s="60" t="s">
        <v>42</v>
      </c>
      <c r="B13" s="64" t="s">
        <v>37</v>
      </c>
      <c r="C13" s="65" t="s">
        <v>10</v>
      </c>
      <c r="D13" s="65" t="s">
        <v>35</v>
      </c>
    </row>
    <row r="14" spans="1:4" x14ac:dyDescent="0.2">
      <c r="B14" s="19"/>
      <c r="C14" s="3"/>
      <c r="D14" s="8">
        <f>B14*C14</f>
        <v>0</v>
      </c>
    </row>
    <row r="15" spans="1:4" x14ac:dyDescent="0.2">
      <c r="C15" s="3"/>
      <c r="D15" s="8">
        <f t="shared" ref="D15:D25" si="0">B15*C15</f>
        <v>0</v>
      </c>
    </row>
    <row r="16" spans="1:4" x14ac:dyDescent="0.2">
      <c r="C16" s="3"/>
      <c r="D16" s="8">
        <f t="shared" si="0"/>
        <v>0</v>
      </c>
    </row>
    <row r="17" spans="1:4" x14ac:dyDescent="0.2">
      <c r="C17" s="3"/>
      <c r="D17" s="8">
        <f t="shared" si="0"/>
        <v>0</v>
      </c>
    </row>
    <row r="18" spans="1:4" x14ac:dyDescent="0.2">
      <c r="C18" s="3"/>
      <c r="D18" s="8">
        <f t="shared" si="0"/>
        <v>0</v>
      </c>
    </row>
    <row r="19" spans="1:4" x14ac:dyDescent="0.2">
      <c r="C19" s="3"/>
      <c r="D19" s="8">
        <f t="shared" si="0"/>
        <v>0</v>
      </c>
    </row>
    <row r="20" spans="1:4" x14ac:dyDescent="0.2">
      <c r="C20" s="3"/>
      <c r="D20" s="8">
        <f t="shared" si="0"/>
        <v>0</v>
      </c>
    </row>
    <row r="21" spans="1:4" x14ac:dyDescent="0.2">
      <c r="C21" s="3"/>
      <c r="D21" s="8">
        <f t="shared" si="0"/>
        <v>0</v>
      </c>
    </row>
    <row r="22" spans="1:4" x14ac:dyDescent="0.2">
      <c r="C22" s="3"/>
      <c r="D22" s="8">
        <f t="shared" si="0"/>
        <v>0</v>
      </c>
    </row>
    <row r="23" spans="1:4" x14ac:dyDescent="0.2">
      <c r="C23" s="3"/>
      <c r="D23" s="8">
        <f t="shared" si="0"/>
        <v>0</v>
      </c>
    </row>
    <row r="24" spans="1:4" x14ac:dyDescent="0.2">
      <c r="A24" s="1" t="s">
        <v>2</v>
      </c>
      <c r="B24" s="29"/>
      <c r="C24" s="3"/>
      <c r="D24" s="8">
        <f t="shared" si="0"/>
        <v>0</v>
      </c>
    </row>
    <row r="25" spans="1:4" x14ac:dyDescent="0.2">
      <c r="A25" s="25"/>
      <c r="B25" s="2"/>
      <c r="C25" s="3"/>
      <c r="D25" s="8">
        <f t="shared" si="0"/>
        <v>0</v>
      </c>
    </row>
    <row r="26" spans="1:4" x14ac:dyDescent="0.2">
      <c r="A26" s="25"/>
      <c r="B26" s="2"/>
      <c r="C26" s="7" t="s">
        <v>8</v>
      </c>
      <c r="D26" s="7">
        <f>SUM(D14:D25)</f>
        <v>0</v>
      </c>
    </row>
    <row r="27" spans="1:4" x14ac:dyDescent="0.2">
      <c r="A27" s="25"/>
      <c r="B27" s="2"/>
      <c r="C27" s="4" t="s">
        <v>9</v>
      </c>
    </row>
    <row r="28" spans="1:4" x14ac:dyDescent="0.2">
      <c r="A28" s="25"/>
      <c r="B28" s="2"/>
      <c r="C28" s="7"/>
      <c r="D28" s="7">
        <f>SUM(D26:D27)</f>
        <v>0</v>
      </c>
    </row>
    <row r="29" spans="1:4" x14ac:dyDescent="0.2">
      <c r="A29" s="25"/>
      <c r="B29" s="2"/>
    </row>
    <row r="30" spans="1:4" x14ac:dyDescent="0.2">
      <c r="A30" s="25"/>
      <c r="B30" s="2" t="s">
        <v>11</v>
      </c>
      <c r="D30" s="4">
        <f>D28/5</f>
        <v>0</v>
      </c>
    </row>
  </sheetData>
  <mergeCells count="2">
    <mergeCell ref="A8:D8"/>
    <mergeCell ref="A10:D10"/>
  </mergeCells>
  <pageMargins left="0.25" right="0.25" top="0.75" bottom="0.75" header="0.3" footer="0.3"/>
  <pageSetup paperSize="9" orientation="portrait" r:id="rId1"/>
  <headerFooter>
    <oddFooter xml:space="preserve">&amp;CVikerseterveien 1046, 3516 Hønefoss -  Org.nr 924 419 849
Mobil. 95 33 62 55 - Info@zolas.no - www.zolas.no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L115"/>
  <sheetViews>
    <sheetView showZeros="0" tabSelected="1" showWhiteSpace="0" view="pageLayout" topLeftCell="A55" zoomScale="93" zoomScaleNormal="93" zoomScalePageLayoutView="93" workbookViewId="0">
      <selection activeCell="H70" sqref="H70"/>
    </sheetView>
  </sheetViews>
  <sheetFormatPr defaultColWidth="9.140625" defaultRowHeight="14.25" x14ac:dyDescent="0.2"/>
  <cols>
    <col min="1" max="1" width="63" style="1" customWidth="1"/>
    <col min="2" max="2" width="3" style="98" customWidth="1"/>
    <col min="3" max="3" width="10.85546875" style="8" customWidth="1"/>
    <col min="4" max="4" width="9.28515625" style="80" customWidth="1"/>
    <col min="5" max="5" width="12" style="80" customWidth="1"/>
    <col min="6" max="6" width="16.28515625" style="1" customWidth="1"/>
    <col min="7" max="7" width="10.42578125" style="4" customWidth="1"/>
    <col min="8" max="16384" width="9.140625" style="1"/>
  </cols>
  <sheetData>
    <row r="1" spans="1:7" ht="18.75" customHeight="1" x14ac:dyDescent="0.2">
      <c r="A1" s="141"/>
    </row>
    <row r="2" spans="1:7" ht="15" customHeight="1" x14ac:dyDescent="0.2">
      <c r="A2" s="98"/>
      <c r="C2" s="123"/>
      <c r="D2" s="98"/>
      <c r="E2" s="123" t="s">
        <v>134</v>
      </c>
    </row>
    <row r="3" spans="1:7" ht="27" customHeight="1" x14ac:dyDescent="0.2">
      <c r="A3" s="136" t="s">
        <v>61</v>
      </c>
      <c r="C3" s="93" t="s">
        <v>62</v>
      </c>
      <c r="D3" s="83" t="s">
        <v>63</v>
      </c>
      <c r="E3" s="83" t="s">
        <v>64</v>
      </c>
    </row>
    <row r="4" spans="1:7" ht="14.1" customHeight="1" x14ac:dyDescent="0.2">
      <c r="A4" s="145" t="str">
        <f>Kalkulasjon!C10</f>
        <v>WINAICI 425W - Mono FukllBlack -30 års garanti</v>
      </c>
      <c r="B4" s="146"/>
      <c r="C4" s="94">
        <f>Kalkulasjon!E10</f>
        <v>3912.4375000000005</v>
      </c>
      <c r="D4" s="84">
        <v>0.05</v>
      </c>
      <c r="E4" s="78">
        <f>ROUND(C4-(C4*D4),-1)</f>
        <v>3720</v>
      </c>
    </row>
    <row r="5" spans="1:7" ht="14.1" customHeight="1" x14ac:dyDescent="0.2">
      <c r="A5" s="145" t="str">
        <f>Kalkulasjon!C11</f>
        <v>CSUN Solar Panel 410W Black - 25/10 års garanti</v>
      </c>
      <c r="B5" s="146"/>
      <c r="C5" s="94">
        <f>Kalkulasjon!E11</f>
        <v>3718.75</v>
      </c>
      <c r="D5" s="84">
        <v>0.05</v>
      </c>
      <c r="E5" s="78">
        <f t="shared" ref="E5:E7" si="0">ROUND(C5-(C5*D5),-1)</f>
        <v>3530</v>
      </c>
    </row>
    <row r="6" spans="1:7" ht="14.1" customHeight="1" x14ac:dyDescent="0.2">
      <c r="A6" s="145" t="str">
        <f>Kalkulasjon!C12</f>
        <v>CSUN Solar Panel 450W Black - 25/10 års garanti</v>
      </c>
      <c r="B6" s="146"/>
      <c r="C6" s="94">
        <f>Kalkulasjon!E12</f>
        <v>4268.75</v>
      </c>
      <c r="D6" s="84">
        <v>0.05</v>
      </c>
      <c r="E6" s="78">
        <f t="shared" si="0"/>
        <v>4060</v>
      </c>
    </row>
    <row r="7" spans="1:7" ht="14.1" customHeight="1" x14ac:dyDescent="0.2">
      <c r="A7" s="145" t="str">
        <f>Kalkulasjon!C9</f>
        <v>Bobil Solcellepakke: 185W*2, monteringsskinner og gjennomføringer</v>
      </c>
      <c r="B7" s="146"/>
      <c r="C7" s="94">
        <f>Kalkulasjon!E9</f>
        <v>8034.375</v>
      </c>
      <c r="D7" s="84"/>
      <c r="E7" s="78">
        <f t="shared" si="0"/>
        <v>8030</v>
      </c>
    </row>
    <row r="8" spans="1:7" ht="5.85" customHeight="1" x14ac:dyDescent="0.2">
      <c r="A8" s="25"/>
      <c r="B8" s="100"/>
      <c r="C8" s="38"/>
      <c r="E8" s="79"/>
    </row>
    <row r="9" spans="1:7" s="40" customFormat="1" ht="14.1" customHeight="1" x14ac:dyDescent="0.2">
      <c r="A9" s="142" t="s">
        <v>53</v>
      </c>
      <c r="B9" s="142"/>
      <c r="C9" s="142"/>
      <c r="D9" s="87"/>
      <c r="E9" s="87"/>
      <c r="G9" s="88"/>
    </row>
    <row r="10" spans="1:7" ht="14.1" customHeight="1" x14ac:dyDescent="0.2">
      <c r="A10" s="167" t="str">
        <f>Kalkulasjon!C32</f>
        <v>Victron MultiPlus-ll 12/1600/70</v>
      </c>
      <c r="B10" s="173"/>
      <c r="C10" s="171">
        <f>Kalkulasjon!E32</f>
        <v>11275.3125</v>
      </c>
      <c r="D10" s="163">
        <v>0.05</v>
      </c>
      <c r="E10" s="78">
        <f>ROUND(C10-(C10*D10),-0.5)</f>
        <v>10712</v>
      </c>
    </row>
    <row r="11" spans="1:7" ht="14.1" customHeight="1" x14ac:dyDescent="0.2">
      <c r="A11" s="145" t="str">
        <f>Kalkulasjon!C34</f>
        <v>Victron MultiPlus-ll 12/3000/120</v>
      </c>
      <c r="B11" s="172"/>
      <c r="C11" s="95">
        <f>Kalkulasjon!E34</f>
        <v>18840.25</v>
      </c>
      <c r="D11" s="84">
        <v>0.05</v>
      </c>
      <c r="E11" s="78">
        <f>ROUND(C11-(C11*D11),-0.5)</f>
        <v>17898</v>
      </c>
    </row>
    <row r="12" spans="1:7" ht="14.1" customHeight="1" x14ac:dyDescent="0.2">
      <c r="A12" s="145" t="str">
        <f>Kalkulasjon!C36</f>
        <v>Victron MultiPlus-ll 48/3000/35</v>
      </c>
      <c r="B12" s="146"/>
      <c r="C12" s="95">
        <f>Kalkulasjon!E36</f>
        <v>10687.5</v>
      </c>
      <c r="D12" s="84">
        <v>0.05</v>
      </c>
      <c r="E12" s="78">
        <f>ROUND(C12-(C12*D12),-0.5)</f>
        <v>10153</v>
      </c>
    </row>
    <row r="13" spans="1:7" ht="14.1" customHeight="1" x14ac:dyDescent="0.2">
      <c r="A13" s="145" t="str">
        <f>Kalkulasjon!C37</f>
        <v xml:space="preserve">Victron MultiPlus-ll 48/5000/70 </v>
      </c>
      <c r="B13" s="146"/>
      <c r="C13" s="95">
        <f>Kalkulasjon!E37</f>
        <v>16561.875</v>
      </c>
      <c r="D13" s="84">
        <v>0.05</v>
      </c>
      <c r="E13" s="78">
        <f>ROUND(C13-(C13*D13),-0.5)</f>
        <v>15734</v>
      </c>
    </row>
    <row r="14" spans="1:7" ht="13.5" customHeight="1" x14ac:dyDescent="0.2">
      <c r="A14" s="145" t="str">
        <f>Kalkulasjon!C33</f>
        <v>Victron MultiPlus-ll 48/8000/110</v>
      </c>
      <c r="B14" s="146"/>
      <c r="C14" s="95">
        <f>Kalkulasjon!E33</f>
        <v>35598.254999999997</v>
      </c>
      <c r="D14" s="84">
        <v>0.05</v>
      </c>
      <c r="E14" s="78">
        <f>ROUND(C14-(C14*D14),-0.5)</f>
        <v>33818</v>
      </c>
    </row>
    <row r="15" spans="1:7" ht="5.85" customHeight="1" x14ac:dyDescent="0.2">
      <c r="B15" s="1"/>
      <c r="C15" s="1"/>
      <c r="D15" s="1"/>
      <c r="E15" s="1"/>
    </row>
    <row r="16" spans="1:7" ht="15" customHeight="1" x14ac:dyDescent="0.2">
      <c r="A16" s="136" t="s">
        <v>104</v>
      </c>
    </row>
    <row r="17" spans="1:5" ht="14.1" customHeight="1" x14ac:dyDescent="0.2">
      <c r="A17" s="147" t="str">
        <f>Kalkulasjon!C13</f>
        <v>Dyno Lead Carbon batteri DLC12V/200Ah</v>
      </c>
      <c r="B17" s="174"/>
      <c r="C17" s="175">
        <f>Kalkulasjon!E13</f>
        <v>7387.9750000000004</v>
      </c>
      <c r="D17" s="176">
        <v>0.05</v>
      </c>
      <c r="E17" s="78">
        <f t="shared" ref="E17:E19" si="1">ROUND(C17-(C17*D17),-1)</f>
        <v>7020</v>
      </c>
    </row>
    <row r="18" spans="1:5" ht="14.1" customHeight="1" x14ac:dyDescent="0.2">
      <c r="A18" s="149" t="s">
        <v>105</v>
      </c>
      <c r="B18" s="178"/>
      <c r="C18" s="179"/>
      <c r="D18" s="180"/>
      <c r="E18" s="78">
        <f t="shared" si="1"/>
        <v>0</v>
      </c>
    </row>
    <row r="19" spans="1:5" ht="14.1" customHeight="1" x14ac:dyDescent="0.2">
      <c r="A19" s="147" t="str">
        <f>Kalkulasjon!C16</f>
        <v>Skanbatt PowerWall 120Ah 6,1kWh m/varmefolie,  8 års garanti</v>
      </c>
      <c r="B19" s="177"/>
      <c r="C19" s="137">
        <f>Kalkulasjon!E16</f>
        <v>43978.724999999991</v>
      </c>
      <c r="D19" s="164">
        <v>0.05</v>
      </c>
      <c r="E19" s="78">
        <f t="shared" si="1"/>
        <v>41780</v>
      </c>
    </row>
    <row r="20" spans="1:5" ht="14.1" customHeight="1" x14ac:dyDescent="0.2">
      <c r="A20" s="147" t="str">
        <f>Kalkulasjon!C17</f>
        <v>Skanbatt PowerWall 100Ah 5,1KWh, 8 års garanti</v>
      </c>
      <c r="B20" s="148"/>
      <c r="C20" s="137">
        <f>Kalkulasjon!E17</f>
        <v>28738.5</v>
      </c>
      <c r="D20" s="164">
        <v>0.05</v>
      </c>
      <c r="E20" s="78">
        <f>ROUND(C20-(C20*D20),-1)</f>
        <v>27300</v>
      </c>
    </row>
    <row r="21" spans="1:5" ht="14.1" customHeight="1" x14ac:dyDescent="0.2">
      <c r="A21" s="147" t="str">
        <f>Kalkulasjon!C18</f>
        <v>Skanbatt Litium batteri 48V 5KWh, 19" m/Heat 8 års garanti</v>
      </c>
      <c r="B21" s="148"/>
      <c r="C21" s="137">
        <f>Kalkulasjon!E18</f>
        <v>31546.5625</v>
      </c>
      <c r="D21" s="164">
        <v>0.05</v>
      </c>
      <c r="E21" s="78">
        <f t="shared" ref="E21:E27" si="2">ROUND(C21-(C21*D21),-1)</f>
        <v>29970</v>
      </c>
    </row>
    <row r="22" spans="1:5" ht="14.1" customHeight="1" x14ac:dyDescent="0.2">
      <c r="A22" s="147" t="str">
        <f>Kalkulasjon!C19</f>
        <v>PYLONTECH Litium batteri 48V 5KWh - 10 års garanti</v>
      </c>
      <c r="B22" s="148"/>
      <c r="C22" s="137">
        <f>Kalkulasjon!E19</f>
        <v>26437.5</v>
      </c>
      <c r="D22" s="164">
        <v>0.05</v>
      </c>
      <c r="E22" s="78">
        <f t="shared" si="2"/>
        <v>25120</v>
      </c>
    </row>
    <row r="23" spans="1:5" ht="14.1" customHeight="1" x14ac:dyDescent="0.2">
      <c r="A23" s="147" t="str">
        <f>Kalkulasjon!C20</f>
        <v>IMPROVE Litium Rackbatteri 51,2V 100Ah 2 års garanti</v>
      </c>
      <c r="B23" s="148"/>
      <c r="C23" s="137">
        <f>Kalkulasjon!E20</f>
        <v>21800</v>
      </c>
      <c r="D23" s="164">
        <v>0.05</v>
      </c>
      <c r="E23" s="78">
        <f t="shared" si="2"/>
        <v>20710</v>
      </c>
    </row>
    <row r="24" spans="1:5" ht="14.1" customHeight="1" x14ac:dyDescent="0.2">
      <c r="A24" s="147" t="str">
        <f>Kalkulasjon!C21</f>
        <v>Skanbatt Litium HEAT PRO 12V 100Ah</v>
      </c>
      <c r="B24" s="148"/>
      <c r="C24" s="137">
        <f>Kalkulasjon!E21</f>
        <v>10765.8</v>
      </c>
      <c r="D24" s="164">
        <v>0.05</v>
      </c>
      <c r="E24" s="78">
        <f t="shared" si="2"/>
        <v>10230</v>
      </c>
    </row>
    <row r="25" spans="1:5" ht="14.1" customHeight="1" x14ac:dyDescent="0.2">
      <c r="A25" s="147" t="str">
        <f>Kalkulasjon!C22</f>
        <v>Skanbatt Litium HEAT PRO 12V 200AH</v>
      </c>
      <c r="B25" s="148"/>
      <c r="C25" s="137">
        <f>Kalkulasjon!E22</f>
        <v>21537</v>
      </c>
      <c r="D25" s="164">
        <v>0.05</v>
      </c>
      <c r="E25" s="78">
        <f t="shared" si="2"/>
        <v>20460</v>
      </c>
    </row>
    <row r="26" spans="1:5" ht="14.1" customHeight="1" x14ac:dyDescent="0.2">
      <c r="A26" s="147" t="str">
        <f>Kalkulasjon!C23</f>
        <v>Power Litiumbatteri Freeze 2.0 12V/100Ah Bluetooth m/heat</v>
      </c>
      <c r="B26" s="148"/>
      <c r="C26" s="137">
        <f>Kalkulasjon!E23</f>
        <v>9972.625</v>
      </c>
      <c r="D26" s="85">
        <v>0.05</v>
      </c>
      <c r="E26" s="78">
        <f t="shared" si="2"/>
        <v>9470</v>
      </c>
    </row>
    <row r="27" spans="1:5" ht="14.1" customHeight="1" x14ac:dyDescent="0.2">
      <c r="A27" s="147" t="str">
        <f>Kalkulasjon!C24</f>
        <v>Power Litiumbatteri Freeze 2.0 12V/200Ah  Bluetooth m/heat</v>
      </c>
      <c r="B27" s="148"/>
      <c r="C27" s="137">
        <f>Kalkulasjon!E24</f>
        <v>15951.999999999998</v>
      </c>
      <c r="D27" s="85">
        <v>0.05</v>
      </c>
      <c r="E27" s="78">
        <f t="shared" si="2"/>
        <v>15150</v>
      </c>
    </row>
    <row r="28" spans="1:5" ht="5.85" customHeight="1" x14ac:dyDescent="0.2">
      <c r="A28" s="135"/>
      <c r="B28" s="100"/>
      <c r="C28" s="38"/>
      <c r="E28" s="79"/>
    </row>
    <row r="29" spans="1:5" ht="15" x14ac:dyDescent="0.2">
      <c r="A29" s="74" t="s">
        <v>33</v>
      </c>
      <c r="C29" s="38"/>
    </row>
    <row r="30" spans="1:5" ht="14.1" customHeight="1" x14ac:dyDescent="0.2">
      <c r="A30" s="143" t="str">
        <f>Kalkulasjon!C26</f>
        <v>Victron "SmartSolar"  MPPT 75/10</v>
      </c>
      <c r="B30" s="99"/>
      <c r="C30" s="94">
        <f>ROUND((Kalkulasjon!E26),-1)</f>
        <v>900</v>
      </c>
      <c r="D30" s="84"/>
      <c r="E30" s="78">
        <f>ROUND(C30-(C30*D30),-1)</f>
        <v>900</v>
      </c>
    </row>
    <row r="31" spans="1:5" ht="14.1" customHeight="1" x14ac:dyDescent="0.2">
      <c r="A31" s="143" t="str">
        <f>Kalkulasjon!C27</f>
        <v>Victron "SmartSolar" MPPT  100/50</v>
      </c>
      <c r="B31" s="99"/>
      <c r="C31" s="94">
        <f>ROUND((Kalkulasjon!E27),-1)</f>
        <v>2670</v>
      </c>
      <c r="D31" s="84"/>
      <c r="E31" s="78">
        <f t="shared" ref="E31:E34" si="3">ROUND(C31-(C31*D31),-0.5)</f>
        <v>2670</v>
      </c>
    </row>
    <row r="32" spans="1:5" ht="14.1" customHeight="1" x14ac:dyDescent="0.2">
      <c r="A32" s="143" t="str">
        <f>Kalkulasjon!C28</f>
        <v>Victron "SmartSolar" MPPT  150/35</v>
      </c>
      <c r="B32" s="99"/>
      <c r="C32" s="94">
        <f>ROUND((Kalkulasjon!E28),-1)</f>
        <v>2670</v>
      </c>
      <c r="D32" s="84"/>
      <c r="E32" s="78">
        <f t="shared" si="3"/>
        <v>2670</v>
      </c>
    </row>
    <row r="33" spans="1:5" ht="14.1" customHeight="1" x14ac:dyDescent="0.2">
      <c r="A33" s="143" t="str">
        <f>Kalkulasjon!C29</f>
        <v>Victron "SmartSolar" MPPT  150/70</v>
      </c>
      <c r="B33" s="99"/>
      <c r="C33" s="94">
        <f>ROUND((Kalkulasjon!E29),-1)</f>
        <v>5560</v>
      </c>
      <c r="D33" s="84"/>
      <c r="E33" s="78">
        <f t="shared" si="3"/>
        <v>5560</v>
      </c>
    </row>
    <row r="34" spans="1:5" ht="14.1" customHeight="1" x14ac:dyDescent="0.2">
      <c r="A34" s="143" t="str">
        <f>Kalkulasjon!C30</f>
        <v>Victron "SmartSolar" MPPT  250/60</v>
      </c>
      <c r="B34" s="99"/>
      <c r="C34" s="94">
        <f>ROUND((Kalkulasjon!E30),-1)</f>
        <v>6020</v>
      </c>
      <c r="D34" s="84"/>
      <c r="E34" s="78">
        <f t="shared" si="3"/>
        <v>6020</v>
      </c>
    </row>
    <row r="35" spans="1:5" ht="5.85" customHeight="1" x14ac:dyDescent="0.2">
      <c r="A35" s="77"/>
      <c r="B35" s="100"/>
      <c r="C35" s="38"/>
      <c r="D35" s="90"/>
      <c r="E35" s="79"/>
    </row>
    <row r="36" spans="1:5" ht="14.1" customHeight="1" x14ac:dyDescent="0.2">
      <c r="A36" s="74" t="s">
        <v>50</v>
      </c>
      <c r="B36" s="100"/>
      <c r="C36" s="38"/>
    </row>
    <row r="37" spans="1:5" ht="14.1" customHeight="1" x14ac:dyDescent="0.2">
      <c r="A37" s="147" t="str">
        <f>Kalkulasjon!C41</f>
        <v>Victron GX GSM modem</v>
      </c>
      <c r="B37" s="99"/>
      <c r="C37" s="94">
        <f>ROUND((Kalkulasjon!E41),-1)</f>
        <v>3240</v>
      </c>
      <c r="D37" s="84"/>
      <c r="E37" s="78">
        <f>ROUND(C37-(C37*D37),-1)</f>
        <v>3240</v>
      </c>
    </row>
    <row r="38" spans="1:5" ht="14.1" customHeight="1" x14ac:dyDescent="0.2">
      <c r="A38" s="147" t="str">
        <f>Kalkulasjon!C42</f>
        <v>Victron Cerbo GX Systemovervåkning</v>
      </c>
      <c r="B38" s="99"/>
      <c r="C38" s="94">
        <f>ROUND((Kalkulasjon!E42),-1)</f>
        <v>4000</v>
      </c>
      <c r="D38" s="84"/>
      <c r="E38" s="78">
        <f>ROUND(C38-(C38*D38),-1)</f>
        <v>4000</v>
      </c>
    </row>
    <row r="39" spans="1:5" ht="14.1" customHeight="1" x14ac:dyDescent="0.2">
      <c r="A39" s="147" t="str">
        <f>Kalkulasjon!C43</f>
        <v>Victron GX Touch 50 - Skjerm til Cerbo GX m/feste</v>
      </c>
      <c r="B39" s="99"/>
      <c r="C39" s="94">
        <f>ROUND((Kalkulasjon!E43),-1)</f>
        <v>3040</v>
      </c>
      <c r="D39" s="84"/>
      <c r="E39" s="78">
        <f t="shared" ref="E39:E43" si="4">ROUND(C39-(C39*D39),-1)</f>
        <v>3040</v>
      </c>
    </row>
    <row r="40" spans="1:5" ht="14.1" customHeight="1" x14ac:dyDescent="0.2">
      <c r="A40" s="147" t="str">
        <f>Kalkulasjon!C44</f>
        <v>Victrom SmartShunt 500A - batterimonitor</v>
      </c>
      <c r="B40" s="99"/>
      <c r="C40" s="94">
        <f>ROUND((Kalkulasjon!E44),-1)</f>
        <v>1610</v>
      </c>
      <c r="D40" s="84"/>
      <c r="E40" s="78">
        <f t="shared" si="4"/>
        <v>1610</v>
      </c>
    </row>
    <row r="41" spans="1:5" ht="14.1" customHeight="1" x14ac:dyDescent="0.2">
      <c r="A41" s="147" t="str">
        <f>Kalkulasjon!C39</f>
        <v>Victron DC-DC konverter 48/12 - 240W</v>
      </c>
      <c r="B41" s="101"/>
      <c r="C41" s="94">
        <f>ROUND((Kalkulasjon!E45),-1)</f>
        <v>3170</v>
      </c>
      <c r="D41" s="84"/>
      <c r="E41" s="78">
        <f t="shared" si="4"/>
        <v>3170</v>
      </c>
    </row>
    <row r="42" spans="1:5" ht="14.1" customHeight="1" x14ac:dyDescent="0.2">
      <c r="A42" s="147" t="str">
        <f>Kalkulasjon!C45</f>
        <v>Victron Global link 520 4G kommunikasjon</v>
      </c>
      <c r="B42" s="101"/>
      <c r="C42" s="94">
        <f>ROUND((Kalkulasjon!E45),-1)</f>
        <v>3170</v>
      </c>
      <c r="D42" s="84"/>
      <c r="E42" s="78">
        <f t="shared" si="4"/>
        <v>3170</v>
      </c>
    </row>
    <row r="43" spans="1:5" ht="14.1" customHeight="1" x14ac:dyDescent="0.2">
      <c r="A43" s="147" t="str">
        <f>Kalkulasjon!C46</f>
        <v>Victron VE.Bus Smart dongle</v>
      </c>
      <c r="B43" s="101"/>
      <c r="C43" s="94">
        <f>ROUND((Kalkulasjon!E46),-1)</f>
        <v>1370</v>
      </c>
      <c r="D43" s="84"/>
      <c r="E43" s="78">
        <f t="shared" si="4"/>
        <v>1370</v>
      </c>
    </row>
    <row r="44" spans="1:5" ht="5.85" customHeight="1" x14ac:dyDescent="0.2">
      <c r="A44" s="152"/>
      <c r="B44" s="153"/>
      <c r="C44" s="154"/>
      <c r="D44" s="155"/>
      <c r="E44" s="156"/>
    </row>
    <row r="45" spans="1:5" ht="14.1" customHeight="1" x14ac:dyDescent="0.2">
      <c r="A45" s="157" t="s">
        <v>92</v>
      </c>
      <c r="B45" s="158"/>
      <c r="C45" s="154"/>
      <c r="D45" s="155"/>
      <c r="E45" s="156"/>
    </row>
    <row r="46" spans="1:5" ht="14.1" customHeight="1" x14ac:dyDescent="0.2">
      <c r="A46" s="147" t="str">
        <f>Kalkulasjon!C57</f>
        <v xml:space="preserve">HYUNDAI HY3900SEi  Elstart Fjernkontro l- garanti 2 år </v>
      </c>
      <c r="B46" s="99"/>
      <c r="C46" s="94">
        <f>Kalkulasjon!E57</f>
        <v>20874.5625</v>
      </c>
      <c r="D46" s="84">
        <v>7.0000000000000007E-2</v>
      </c>
      <c r="E46" s="78">
        <f>ROUND(C46-(C46*D46),-1)</f>
        <v>19410</v>
      </c>
    </row>
    <row r="47" spans="1:5" ht="14.1" customHeight="1" x14ac:dyDescent="0.2">
      <c r="A47" s="165" t="str">
        <f>Kalkulasjon!C58</f>
        <v xml:space="preserve">HYUNDAI HY6500SEi  Elstart Fjernkontroll - garanti 2 år </v>
      </c>
      <c r="B47" s="99"/>
      <c r="C47" s="94">
        <f>Kalkulasjon!E58</f>
        <v>37578.5625</v>
      </c>
      <c r="D47" s="84">
        <v>7.0000000000000007E-2</v>
      </c>
      <c r="E47" s="78">
        <f>ROUND(C47-(C47*D47),-1)</f>
        <v>34950</v>
      </c>
    </row>
    <row r="48" spans="1:5" ht="14.1" customHeight="1" x14ac:dyDescent="0.2">
      <c r="A48" s="147" t="str">
        <f>Kalkulasjon!C59</f>
        <v>GSM fjernstarter- 4G - 2 Utganger</v>
      </c>
      <c r="B48" s="99"/>
      <c r="C48" s="95">
        <f>ROUND((Kalkulasjon!E59),-1)</f>
        <v>1760</v>
      </c>
      <c r="D48" s="84"/>
      <c r="E48" s="78"/>
    </row>
    <row r="49" spans="1:8" x14ac:dyDescent="0.2">
      <c r="A49" s="167" t="str">
        <f>Kalkulasjon!C60</f>
        <v>Eksosadapter til HY3900SEi</v>
      </c>
      <c r="B49" s="166"/>
      <c r="C49" s="95">
        <f>ROUND((Kalkulasjon!E60),-1)</f>
        <v>1830</v>
      </c>
      <c r="D49" s="151"/>
      <c r="E49" s="151"/>
    </row>
    <row r="50" spans="1:8" ht="14.1" customHeight="1" x14ac:dyDescent="0.2">
      <c r="A50" s="167" t="str">
        <f>Kalkulasjon!C61</f>
        <v>Eksosadapter til HY6500SEi</v>
      </c>
      <c r="B50" s="166"/>
      <c r="C50" s="95">
        <f>ROUND((Kalkulasjon!E61),-1)</f>
        <v>3900</v>
      </c>
      <c r="D50" s="151"/>
      <c r="E50" s="151"/>
    </row>
    <row r="51" spans="1:8" ht="5.85" customHeight="1" x14ac:dyDescent="0.2"/>
    <row r="52" spans="1:8" ht="14.1" customHeight="1" x14ac:dyDescent="0.2">
      <c r="A52" s="73" t="s">
        <v>122</v>
      </c>
      <c r="C52" s="38"/>
    </row>
    <row r="53" spans="1:8" ht="14.1" customHeight="1" x14ac:dyDescent="0.2">
      <c r="A53" s="143" t="str">
        <f>Kalkulasjon!C51</f>
        <v>Weishaupt WTC 15 kondenserende gasskjele</v>
      </c>
      <c r="B53" s="144"/>
      <c r="C53" s="95">
        <f>Kalkulasjon!E51</f>
        <v>51676.3125</v>
      </c>
      <c r="D53" s="84">
        <v>0.04</v>
      </c>
      <c r="E53" s="78">
        <f>ROUND(C53-(C53*D53),-1)</f>
        <v>49610</v>
      </c>
    </row>
    <row r="54" spans="1:8" ht="14.1" customHeight="1" x14ac:dyDescent="0.2">
      <c r="A54" s="143" t="str">
        <f>Kalkulasjon!C52</f>
        <v>Weishaupt WTC 15 kondenserende gasskjele m/varmtvanns prioritering</v>
      </c>
      <c r="B54" s="144"/>
      <c r="C54" s="95">
        <f>Kalkulasjon!E52</f>
        <v>53687.8125</v>
      </c>
      <c r="D54" s="84">
        <v>0.04</v>
      </c>
      <c r="E54" s="78">
        <f>ROUND(C54-(C54*D54),-1)</f>
        <v>51540</v>
      </c>
    </row>
    <row r="55" spans="1:8" ht="14.1" customHeight="1" x14ac:dyDescent="0.2">
      <c r="A55" s="143" t="str">
        <f>Kalkulasjon!C53</f>
        <v>Weishaupt avtrekk gjennom vegg</v>
      </c>
      <c r="B55" s="144"/>
      <c r="C55" s="95">
        <f>ROUND((Kalkulasjon!E53),-1)</f>
        <v>3700</v>
      </c>
      <c r="D55" s="84"/>
      <c r="E55" s="78">
        <f>ROUND(C55-(C55*D55),-1)</f>
        <v>3700</v>
      </c>
    </row>
    <row r="56" spans="1:8" ht="14.1" customHeight="1" x14ac:dyDescent="0.2">
      <c r="A56" s="143" t="str">
        <f>Kalkulasjon!C55</f>
        <v>Weishaupt føler for Varmtvannsbereder</v>
      </c>
      <c r="B56" s="144"/>
      <c r="C56" s="95">
        <f>Kalkulasjon!E55</f>
        <v>540</v>
      </c>
      <c r="D56" s="84"/>
      <c r="E56" s="78">
        <f>ROUND(C56-(C56*D56),-1)</f>
        <v>540</v>
      </c>
    </row>
    <row r="57" spans="1:8" ht="14.1" customHeight="1" x14ac:dyDescent="0.2">
      <c r="A57" s="143" t="str">
        <f>Kalkulasjon!C56</f>
        <v>5 års tilgang til Weishaupt WEM portal for fjernjustering</v>
      </c>
      <c r="B57" s="144"/>
      <c r="C57" s="95">
        <f>Kalkulasjon!E56</f>
        <v>900</v>
      </c>
      <c r="D57" s="84"/>
      <c r="E57" s="78">
        <f>ROUND(C57-(C57*D57),-1)</f>
        <v>900</v>
      </c>
    </row>
    <row r="58" spans="1:8" ht="11.25" customHeight="1" x14ac:dyDescent="0.2">
      <c r="B58" s="100"/>
      <c r="C58" s="38"/>
    </row>
    <row r="59" spans="1:8" ht="26.1" customHeight="1" x14ac:dyDescent="0.25">
      <c r="A59" s="133" t="s">
        <v>135</v>
      </c>
      <c r="B59" s="159"/>
      <c r="C59" s="159"/>
      <c r="D59" s="159"/>
      <c r="E59" s="159"/>
      <c r="F59" s="132"/>
    </row>
    <row r="60" spans="1:8" ht="6.75" customHeight="1" x14ac:dyDescent="0.2">
      <c r="B60" s="82"/>
      <c r="C60" s="185"/>
      <c r="D60" s="185"/>
      <c r="E60" s="185"/>
    </row>
    <row r="61" spans="1:8" ht="24.75" customHeight="1" x14ac:dyDescent="0.2">
      <c r="A61" s="74" t="s">
        <v>106</v>
      </c>
      <c r="B61" s="102"/>
      <c r="C61" s="93" t="s">
        <v>62</v>
      </c>
      <c r="D61" s="83" t="s">
        <v>63</v>
      </c>
      <c r="E61" s="83" t="s">
        <v>64</v>
      </c>
    </row>
    <row r="62" spans="1:8" ht="13.5" customHeight="1" x14ac:dyDescent="0.2">
      <c r="A62" s="75" t="str">
        <f>Kalkulasjon!C34</f>
        <v>Victron MultiPlus-ll 12/3000/120</v>
      </c>
      <c r="B62" s="103">
        <v>1</v>
      </c>
      <c r="C62" s="211">
        <f>Kalkulasjon!E34</f>
        <v>18840.25</v>
      </c>
      <c r="D62" s="213">
        <v>3600</v>
      </c>
      <c r="E62" s="191">
        <f>ROUND(C68-D62,-1)</f>
        <v>73590</v>
      </c>
      <c r="F62" s="37"/>
      <c r="H62" s="8"/>
    </row>
    <row r="63" spans="1:8" ht="13.5" customHeight="1" x14ac:dyDescent="0.2">
      <c r="A63" s="75" t="str">
        <f>Kalkulasjon!C22</f>
        <v>Skanbatt Litium HEAT PRO 12V 200AH</v>
      </c>
      <c r="B63" s="104">
        <v>2</v>
      </c>
      <c r="C63" s="211">
        <f>Kalkulasjon!E22*B63</f>
        <v>43074</v>
      </c>
      <c r="D63" s="213"/>
      <c r="E63" s="191"/>
      <c r="F63" s="37"/>
    </row>
    <row r="64" spans="1:8" ht="13.5" customHeight="1" x14ac:dyDescent="0.2">
      <c r="A64" s="75" t="str">
        <f>Kalkulasjon!C27</f>
        <v>Victron "SmartSolar" MPPT  100/50</v>
      </c>
      <c r="B64" s="103">
        <v>1</v>
      </c>
      <c r="C64" s="211">
        <f>Kalkulasjon!E27</f>
        <v>2673.75</v>
      </c>
      <c r="D64" s="213"/>
      <c r="E64" s="191"/>
      <c r="F64" s="37"/>
    </row>
    <row r="65" spans="1:6" ht="13.5" customHeight="1" x14ac:dyDescent="0.2">
      <c r="A65" s="75" t="str">
        <f>Kalkulasjon!C11</f>
        <v>CSUN Solar Panel 410W Black - 25/10 års garanti</v>
      </c>
      <c r="B65" s="103">
        <v>2</v>
      </c>
      <c r="C65" s="211">
        <f>Kalkulasjon!E11*B65</f>
        <v>7437.5</v>
      </c>
      <c r="D65" s="213"/>
      <c r="E65" s="191"/>
      <c r="F65" s="37"/>
    </row>
    <row r="66" spans="1:6" ht="13.5" customHeight="1" x14ac:dyDescent="0.2">
      <c r="A66" s="75" t="str">
        <f>Kalkulasjon!C44</f>
        <v>Victrom SmartShunt 500A - batterimonitor</v>
      </c>
      <c r="B66" s="103">
        <v>1</v>
      </c>
      <c r="C66" s="211">
        <f>Kalkulasjon!E44*B66</f>
        <v>1606.2112500000001</v>
      </c>
      <c r="D66" s="213"/>
      <c r="E66" s="191"/>
      <c r="F66" s="37"/>
    </row>
    <row r="67" spans="1:6" ht="13.5" customHeight="1" x14ac:dyDescent="0.2">
      <c r="A67" s="138" t="str">
        <f>Kalkulasjon!C48</f>
        <v>Sikringer, Kabler mellom Solpanel/MPPT og Batteri/Inverter (10M)</v>
      </c>
      <c r="B67" s="103">
        <v>1</v>
      </c>
      <c r="C67" s="211">
        <v>3563</v>
      </c>
      <c r="D67" s="214"/>
      <c r="E67" s="212"/>
    </row>
    <row r="68" spans="1:6" ht="14.1" customHeight="1" x14ac:dyDescent="0.2">
      <c r="A68" s="86" t="s">
        <v>56</v>
      </c>
      <c r="C68" s="97">
        <f>SUM(C62:C67)</f>
        <v>77194.711249999993</v>
      </c>
      <c r="D68" s="79"/>
    </row>
    <row r="69" spans="1:6" ht="6.75" customHeight="1" x14ac:dyDescent="0.2">
      <c r="D69" s="79"/>
    </row>
    <row r="70" spans="1:6" ht="15" x14ac:dyDescent="0.2">
      <c r="A70" s="73" t="s">
        <v>107</v>
      </c>
      <c r="D70" s="79"/>
    </row>
    <row r="71" spans="1:6" x14ac:dyDescent="0.2">
      <c r="A71" s="75" t="str">
        <f>Kalkulasjon!C36</f>
        <v>Victron MultiPlus-ll 48/3000/35</v>
      </c>
      <c r="B71" s="75">
        <v>1</v>
      </c>
      <c r="C71" s="96">
        <f>Kalkulasjon!E36</f>
        <v>10687.5</v>
      </c>
      <c r="D71" s="188">
        <v>2500</v>
      </c>
      <c r="E71" s="186">
        <f>ROUND(C78-D71,-1)</f>
        <v>60660</v>
      </c>
    </row>
    <row r="72" spans="1:6" x14ac:dyDescent="0.2">
      <c r="A72" s="75" t="str">
        <f>Kalkulasjon!C18</f>
        <v>Skanbatt Litium batteri 48V 5KWh, 19" m/Heat 8 års garanti</v>
      </c>
      <c r="B72" s="75">
        <v>1</v>
      </c>
      <c r="C72" s="96">
        <f>Kalkulasjon!E18</f>
        <v>31546.5625</v>
      </c>
      <c r="D72" s="189"/>
      <c r="E72" s="187"/>
    </row>
    <row r="73" spans="1:6" x14ac:dyDescent="0.2">
      <c r="A73" s="75" t="str">
        <f>Kalkulasjon!C11</f>
        <v>CSUN Solar Panel 410W Black - 25/10 års garanti</v>
      </c>
      <c r="B73" s="75">
        <v>2</v>
      </c>
      <c r="C73" s="96">
        <f>Kalkulasjon!E11*B73</f>
        <v>7437.5</v>
      </c>
      <c r="D73" s="189"/>
      <c r="E73" s="187"/>
    </row>
    <row r="74" spans="1:6" ht="15" customHeight="1" x14ac:dyDescent="0.2">
      <c r="A74" s="75" t="str">
        <f>Kalkulasjon!C27</f>
        <v>Victron "SmartSolar" MPPT  100/50</v>
      </c>
      <c r="B74" s="75">
        <v>1</v>
      </c>
      <c r="C74" s="96">
        <f>Kalkulasjon!E27</f>
        <v>2673.75</v>
      </c>
      <c r="D74" s="189"/>
      <c r="E74" s="194" t="s">
        <v>136</v>
      </c>
    </row>
    <row r="75" spans="1:6" ht="14.25" customHeight="1" x14ac:dyDescent="0.2">
      <c r="A75" s="75" t="str">
        <f>Kalkulasjon!C41</f>
        <v>Victron GX GSM modem</v>
      </c>
      <c r="B75" s="75">
        <v>1</v>
      </c>
      <c r="C75" s="96">
        <f>Kalkulasjon!E41</f>
        <v>3244.3125</v>
      </c>
      <c r="D75" s="189"/>
      <c r="E75" s="194"/>
    </row>
    <row r="76" spans="1:6" x14ac:dyDescent="0.2">
      <c r="A76" s="75" t="str">
        <f>Kalkulasjon!C42</f>
        <v>Victron Cerbo GX Systemovervåkning</v>
      </c>
      <c r="B76" s="75">
        <v>1</v>
      </c>
      <c r="C76" s="96">
        <f>Kalkulasjon!E42</f>
        <v>4004</v>
      </c>
      <c r="D76" s="189"/>
      <c r="E76" s="194"/>
    </row>
    <row r="77" spans="1:6" x14ac:dyDescent="0.2">
      <c r="A77" s="75" t="str">
        <f>Kalkulasjon!C48</f>
        <v>Sikringer, Kabler mellom Solpanel/MPPT og Batteri/Inverter (10M)</v>
      </c>
      <c r="B77" s="75">
        <v>1</v>
      </c>
      <c r="C77" s="96">
        <v>3563</v>
      </c>
      <c r="D77" s="190"/>
      <c r="E77" s="195"/>
    </row>
    <row r="78" spans="1:6" ht="14.1" customHeight="1" x14ac:dyDescent="0.2">
      <c r="A78" s="86" t="s">
        <v>56</v>
      </c>
      <c r="C78" s="97">
        <f>SUM(C71:C77)</f>
        <v>63156.625</v>
      </c>
      <c r="D78" s="81"/>
      <c r="E78" s="81"/>
    </row>
    <row r="79" spans="1:6" ht="7.35" customHeight="1" x14ac:dyDescent="0.2">
      <c r="D79" s="79"/>
      <c r="E79" s="81"/>
    </row>
    <row r="80" spans="1:6" ht="15" x14ac:dyDescent="0.2">
      <c r="A80" s="73" t="s">
        <v>108</v>
      </c>
      <c r="D80" s="79"/>
      <c r="E80" s="81"/>
    </row>
    <row r="81" spans="1:8" x14ac:dyDescent="0.2">
      <c r="A81" s="75" t="str">
        <f>Kalkulasjon!C37</f>
        <v xml:space="preserve">Victron MultiPlus-ll 48/5000/70 </v>
      </c>
      <c r="B81" s="103">
        <v>1</v>
      </c>
      <c r="C81" s="96">
        <f>Kalkulasjon!E37</f>
        <v>16561.875</v>
      </c>
      <c r="D81" s="188">
        <v>3800</v>
      </c>
      <c r="E81" s="192">
        <f>ROUND(C88-D81,-1)</f>
        <v>85100</v>
      </c>
    </row>
    <row r="82" spans="1:8" x14ac:dyDescent="0.2">
      <c r="A82" s="75" t="str">
        <f>Kalkulasjon!C16</f>
        <v>Skanbatt PowerWall 120Ah 6,1kWh m/varmefolie,  8 års garanti</v>
      </c>
      <c r="B82" s="103">
        <v>1</v>
      </c>
      <c r="C82" s="96">
        <f>Kalkulasjon!E16</f>
        <v>43978.724999999991</v>
      </c>
      <c r="D82" s="189"/>
      <c r="E82" s="193"/>
    </row>
    <row r="83" spans="1:8" x14ac:dyDescent="0.2">
      <c r="A83" s="75" t="str">
        <f>Kalkulasjon!C11</f>
        <v>CSUN Solar Panel 410W Black - 25/10 års garanti</v>
      </c>
      <c r="B83" s="104">
        <v>4</v>
      </c>
      <c r="C83" s="96">
        <f>Kalkulasjon!E11*B83</f>
        <v>14875</v>
      </c>
      <c r="D83" s="189"/>
      <c r="E83" s="193"/>
    </row>
    <row r="84" spans="1:8" x14ac:dyDescent="0.2">
      <c r="A84" s="75" t="str">
        <f>Kalkulasjon!C28</f>
        <v>Victron "SmartSolar" MPPT  150/35</v>
      </c>
      <c r="B84" s="103">
        <v>1</v>
      </c>
      <c r="C84" s="96">
        <f>Kalkulasjon!E28</f>
        <v>2673.75</v>
      </c>
      <c r="D84" s="189"/>
      <c r="E84" s="196" t="s">
        <v>133</v>
      </c>
      <c r="H84" s="8"/>
    </row>
    <row r="85" spans="1:8" ht="14.1" customHeight="1" x14ac:dyDescent="0.2">
      <c r="A85" s="75" t="str">
        <f>Kalkulasjon!C42</f>
        <v>Victron Cerbo GX Systemovervåkning</v>
      </c>
      <c r="B85" s="103">
        <v>1</v>
      </c>
      <c r="C85" s="96">
        <f>Kalkulasjon!E42</f>
        <v>4004</v>
      </c>
      <c r="D85" s="189"/>
      <c r="E85" s="193"/>
      <c r="H85" s="8"/>
    </row>
    <row r="86" spans="1:8" ht="14.1" customHeight="1" x14ac:dyDescent="0.2">
      <c r="A86" s="75" t="str">
        <f>Kalkulasjon!C41</f>
        <v>Victron GX GSM modem</v>
      </c>
      <c r="B86" s="103">
        <v>1</v>
      </c>
      <c r="C86" s="96">
        <f>Kalkulasjon!E41</f>
        <v>3244.3125</v>
      </c>
      <c r="D86" s="189"/>
      <c r="E86" s="193"/>
      <c r="H86" s="8"/>
    </row>
    <row r="87" spans="1:8" x14ac:dyDescent="0.2">
      <c r="A87" s="119" t="str">
        <f>Kalkulasjon!C48</f>
        <v>Sikringer, Kabler mellom Solpanel/MPPT og Batteri/Inverter (10M)</v>
      </c>
      <c r="B87" s="103">
        <v>1</v>
      </c>
      <c r="C87" s="96">
        <v>3563</v>
      </c>
      <c r="D87" s="190"/>
      <c r="E87" s="197"/>
    </row>
    <row r="88" spans="1:8" ht="14.1" customHeight="1" x14ac:dyDescent="0.2">
      <c r="A88" s="86" t="s">
        <v>56</v>
      </c>
      <c r="C88" s="97">
        <f>SUM(C81:C87)</f>
        <v>88900.662499999991</v>
      </c>
      <c r="D88" s="81"/>
      <c r="E88" s="81"/>
    </row>
    <row r="89" spans="1:8" ht="6.75" customHeight="1" x14ac:dyDescent="0.2">
      <c r="A89" s="60"/>
      <c r="D89" s="79"/>
      <c r="E89" s="81"/>
    </row>
    <row r="90" spans="1:8" ht="15" x14ac:dyDescent="0.2">
      <c r="A90" s="73" t="s">
        <v>129</v>
      </c>
      <c r="D90" s="79"/>
      <c r="E90" s="81"/>
    </row>
    <row r="91" spans="1:8" ht="15" customHeight="1" x14ac:dyDescent="0.2">
      <c r="A91" s="75" t="str">
        <f>Kalkulasjon!C33</f>
        <v>Victron MultiPlus-ll 48/8000/110</v>
      </c>
      <c r="B91" s="103">
        <v>1</v>
      </c>
      <c r="C91" s="96">
        <f>Kalkulasjon!E33</f>
        <v>35598.254999999997</v>
      </c>
      <c r="D91" s="188">
        <v>7500</v>
      </c>
      <c r="E91" s="198">
        <f>ROUND(C98-D91,-0.5)</f>
        <v>156325</v>
      </c>
    </row>
    <row r="92" spans="1:8" ht="15" customHeight="1" x14ac:dyDescent="0.2">
      <c r="A92" s="75" t="str">
        <f>Kalkulasjon!C16</f>
        <v>Skanbatt PowerWall 120Ah 6,1kWh m/varmefolie,  8 års garanti</v>
      </c>
      <c r="B92" s="103">
        <v>2</v>
      </c>
      <c r="C92" s="96">
        <f>Kalkulasjon!E16*B92</f>
        <v>87957.449999999983</v>
      </c>
      <c r="D92" s="189"/>
      <c r="E92" s="199"/>
    </row>
    <row r="93" spans="1:8" ht="15" customHeight="1" x14ac:dyDescent="0.2">
      <c r="A93" s="75" t="str">
        <f>Kalkulasjon!C11</f>
        <v>CSUN Solar Panel 410W Black - 25/10 års garanti</v>
      </c>
      <c r="B93" s="103">
        <v>6</v>
      </c>
      <c r="C93" s="96">
        <f>Kalkulasjon!E11*B93</f>
        <v>22312.5</v>
      </c>
      <c r="D93" s="189"/>
      <c r="E93" s="199"/>
    </row>
    <row r="94" spans="1:8" ht="15" customHeight="1" x14ac:dyDescent="0.2">
      <c r="A94" s="76" t="str">
        <f>Kalkulasjon!C30</f>
        <v>Victron "SmartSolar" MPPT  250/60</v>
      </c>
      <c r="B94" s="103">
        <v>1</v>
      </c>
      <c r="C94" s="96">
        <f>Kalkulasjon!E30</f>
        <v>6020.625</v>
      </c>
      <c r="D94" s="189"/>
      <c r="E94" s="200" t="s">
        <v>132</v>
      </c>
    </row>
    <row r="95" spans="1:8" ht="15" customHeight="1" x14ac:dyDescent="0.2">
      <c r="A95" s="76" t="str">
        <f>Kalkulasjon!C41</f>
        <v>Victron GX GSM modem</v>
      </c>
      <c r="B95" s="103">
        <v>1</v>
      </c>
      <c r="C95" s="96">
        <f>Kalkulasjon!E41</f>
        <v>3244.3125</v>
      </c>
      <c r="D95" s="189"/>
      <c r="E95" s="199"/>
    </row>
    <row r="96" spans="1:8" ht="15" customHeight="1" x14ac:dyDescent="0.2">
      <c r="A96" s="76" t="str">
        <f>Kalkulasjon!C42</f>
        <v>Victron Cerbo GX Systemovervåkning</v>
      </c>
      <c r="B96" s="103">
        <v>1</v>
      </c>
      <c r="C96" s="96">
        <f>Kalkulasjon!E42</f>
        <v>4004</v>
      </c>
      <c r="D96" s="189"/>
      <c r="E96" s="199"/>
    </row>
    <row r="97" spans="1:12" ht="14.25" customHeight="1" x14ac:dyDescent="0.2">
      <c r="A97" s="119" t="str">
        <f>Kalkulasjon!C48</f>
        <v>Sikringer, Kabler mellom Solpanel/MPPT og Batteri/Inverter (10M)</v>
      </c>
      <c r="B97" s="103">
        <v>1</v>
      </c>
      <c r="C97" s="96">
        <f>Kalkulasjon!E48</f>
        <v>4687.5</v>
      </c>
      <c r="D97" s="190"/>
      <c r="E97" s="201"/>
    </row>
    <row r="98" spans="1:12" ht="14.1" customHeight="1" x14ac:dyDescent="0.2">
      <c r="A98" s="97" t="s">
        <v>56</v>
      </c>
      <c r="C98" s="97">
        <f>SUM(C91:C97)</f>
        <v>163824.64249999999</v>
      </c>
      <c r="D98" s="81"/>
      <c r="E98" s="73"/>
    </row>
    <row r="99" spans="1:12" ht="7.35" customHeight="1" x14ac:dyDescent="0.2">
      <c r="A99" s="97"/>
      <c r="C99" s="97"/>
      <c r="D99" s="81"/>
      <c r="E99" s="73"/>
    </row>
    <row r="100" spans="1:12" ht="15" x14ac:dyDescent="0.2">
      <c r="A100" s="120" t="s">
        <v>82</v>
      </c>
      <c r="D100" s="79"/>
      <c r="E100" s="81"/>
      <c r="H100" s="81"/>
    </row>
    <row r="101" spans="1:12" ht="14.25" customHeight="1" x14ac:dyDescent="0.2">
      <c r="A101" s="150" t="str">
        <f>Kalkulasjon!C9</f>
        <v>Bobil Solcellepakke: 185W*2, monteringsskinner og gjennomføringer</v>
      </c>
      <c r="B101" s="121">
        <v>1</v>
      </c>
      <c r="C101" s="96">
        <f>Kalkulasjon!E9*B101</f>
        <v>8034.375</v>
      </c>
      <c r="D101" s="202">
        <v>2000</v>
      </c>
      <c r="E101" s="205">
        <f>ROUND(C107-D101,-1)</f>
        <v>37340</v>
      </c>
      <c r="H101" s="81"/>
    </row>
    <row r="102" spans="1:12" ht="14.25" customHeight="1" x14ac:dyDescent="0.2">
      <c r="A102" s="150" t="str">
        <f>Kalkulasjon!C24</f>
        <v>Power Litiumbatteri Freeze 2.0 12V/200Ah  Bluetooth m/heat</v>
      </c>
      <c r="B102" s="121">
        <v>1</v>
      </c>
      <c r="C102" s="96">
        <f>Kalkulasjon!E24</f>
        <v>15951.999999999998</v>
      </c>
      <c r="D102" s="203"/>
      <c r="E102" s="206"/>
      <c r="H102" s="81"/>
    </row>
    <row r="103" spans="1:12" ht="14.25" customHeight="1" x14ac:dyDescent="0.2">
      <c r="A103" s="150" t="str">
        <f>Kalkulasjon!C32</f>
        <v>Victron MultiPlus-ll 12/1600/70</v>
      </c>
      <c r="B103" s="121">
        <v>1</v>
      </c>
      <c r="C103" s="96">
        <f>Kalkulasjon!E32</f>
        <v>11275.3125</v>
      </c>
      <c r="D103" s="203"/>
      <c r="E103" s="206"/>
      <c r="H103" s="81"/>
      <c r="I103" s="81"/>
    </row>
    <row r="104" spans="1:12" ht="14.25" customHeight="1" x14ac:dyDescent="0.2">
      <c r="A104" s="150" t="str">
        <f>Kalkulasjon!C26</f>
        <v>Victron "SmartSolar"  MPPT 75/10</v>
      </c>
      <c r="B104" s="121">
        <v>1</v>
      </c>
      <c r="C104" s="96">
        <f>Kalkulasjon!E26</f>
        <v>896.25</v>
      </c>
      <c r="D104" s="203"/>
      <c r="E104" s="206"/>
      <c r="H104" s="81"/>
      <c r="I104" s="81"/>
    </row>
    <row r="105" spans="1:12" ht="14.25" customHeight="1" x14ac:dyDescent="0.2">
      <c r="A105" s="150" t="s">
        <v>81</v>
      </c>
      <c r="B105" s="121">
        <v>1</v>
      </c>
      <c r="C105" s="96">
        <v>1785</v>
      </c>
      <c r="D105" s="203"/>
      <c r="E105" s="206"/>
      <c r="H105" s="81"/>
      <c r="I105" s="81"/>
      <c r="L105" s="81"/>
    </row>
    <row r="106" spans="1:12" ht="14.25" customHeight="1" x14ac:dyDescent="0.2">
      <c r="A106" s="150" t="s">
        <v>52</v>
      </c>
      <c r="B106" s="122">
        <v>1</v>
      </c>
      <c r="C106" s="96">
        <v>1396</v>
      </c>
      <c r="D106" s="204"/>
      <c r="E106" s="207"/>
      <c r="H106" s="81"/>
      <c r="I106" s="81"/>
      <c r="L106" s="81"/>
    </row>
    <row r="107" spans="1:12" ht="14.25" customHeight="1" x14ac:dyDescent="0.2">
      <c r="A107" s="140" t="s">
        <v>56</v>
      </c>
      <c r="B107" s="168"/>
      <c r="C107" s="140">
        <f>SUM(C101:C106)</f>
        <v>39338.9375</v>
      </c>
      <c r="D107" s="169"/>
      <c r="E107" s="170"/>
      <c r="H107" s="81"/>
      <c r="I107" s="81"/>
      <c r="L107" s="81"/>
    </row>
    <row r="108" spans="1:12" ht="24" customHeight="1" x14ac:dyDescent="0.2">
      <c r="A108" s="208" t="s">
        <v>57</v>
      </c>
      <c r="B108" s="208"/>
      <c r="C108" s="208"/>
      <c r="D108" s="208"/>
      <c r="E108" s="208"/>
      <c r="I108" s="81"/>
      <c r="L108" s="81"/>
    </row>
    <row r="109" spans="1:12" ht="21" customHeight="1" x14ac:dyDescent="0.2">
      <c r="A109" s="208" t="s">
        <v>58</v>
      </c>
      <c r="B109" s="208"/>
      <c r="C109" s="208"/>
      <c r="D109" s="208"/>
      <c r="E109" s="208"/>
      <c r="I109" s="81"/>
      <c r="L109" s="81"/>
    </row>
    <row r="110" spans="1:12" ht="21" customHeight="1" x14ac:dyDescent="0.2">
      <c r="A110" s="209" t="s">
        <v>59</v>
      </c>
      <c r="B110" s="209"/>
      <c r="C110" s="209"/>
      <c r="D110" s="209"/>
      <c r="E110" s="209"/>
      <c r="L110" s="81"/>
    </row>
    <row r="111" spans="1:12" ht="20.25" customHeight="1" x14ac:dyDescent="0.2">
      <c r="A111" s="209" t="s">
        <v>60</v>
      </c>
      <c r="B111" s="209"/>
      <c r="C111" s="209"/>
      <c r="D111" s="209"/>
      <c r="E111" s="209"/>
      <c r="G111" s="81"/>
    </row>
    <row r="112" spans="1:12" x14ac:dyDescent="0.2">
      <c r="G112" s="81"/>
    </row>
    <row r="113" spans="7:7" x14ac:dyDescent="0.2">
      <c r="G113" s="81"/>
    </row>
    <row r="114" spans="7:7" x14ac:dyDescent="0.2">
      <c r="G114" s="81"/>
    </row>
    <row r="115" spans="7:7" x14ac:dyDescent="0.2">
      <c r="G115" s="81"/>
    </row>
  </sheetData>
  <mergeCells count="18">
    <mergeCell ref="D101:D106"/>
    <mergeCell ref="E101:E106"/>
    <mergeCell ref="A108:E108"/>
    <mergeCell ref="A109:E109"/>
    <mergeCell ref="A111:E111"/>
    <mergeCell ref="A110:E110"/>
    <mergeCell ref="C60:E60"/>
    <mergeCell ref="E71:E73"/>
    <mergeCell ref="D81:D87"/>
    <mergeCell ref="D91:D97"/>
    <mergeCell ref="D62:D66"/>
    <mergeCell ref="E62:E66"/>
    <mergeCell ref="D71:D77"/>
    <mergeCell ref="E81:E83"/>
    <mergeCell ref="E74:E77"/>
    <mergeCell ref="E84:E87"/>
    <mergeCell ref="E91:E93"/>
    <mergeCell ref="E94:E97"/>
  </mergeCells>
  <pageMargins left="0.19685039370078741" right="3.937007874015748E-2" top="0.31496062992125984" bottom="3.937007874015748E-2" header="0.31496062992125984" footer="0.19685039370078741"/>
  <pageSetup paperSize="9" orientation="portrait" r:id="rId1"/>
  <headerFooter>
    <oddFooter>&amp;CVikerseterveien 1046, 3516 Hønefoss -  Org.nr 924 419 849
 Mobil. 95 33 62 55 - info@zolas.no - www.zolas.no</oddFooter>
  </headerFooter>
  <rowBreaks count="1" manualBreakCount="1">
    <brk id="5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5"/>
  <sheetViews>
    <sheetView showZeros="0" view="pageLayout" zoomScaleNormal="100" workbookViewId="0">
      <selection activeCell="A8" sqref="A8:C8"/>
    </sheetView>
  </sheetViews>
  <sheetFormatPr defaultColWidth="9.140625" defaultRowHeight="15" x14ac:dyDescent="0.2"/>
  <cols>
    <col min="1" max="1" width="43.42578125" style="56" customWidth="1"/>
    <col min="2" max="2" width="11.28515625" style="70" customWidth="1"/>
    <col min="3" max="3" width="15" style="54" customWidth="1"/>
    <col min="4" max="4" width="23.140625" style="54" customWidth="1"/>
    <col min="5" max="16384" width="9.140625" style="40"/>
  </cols>
  <sheetData>
    <row r="4" spans="1:4" ht="22.5" x14ac:dyDescent="0.2">
      <c r="A4" s="57" t="s">
        <v>40</v>
      </c>
    </row>
    <row r="7" spans="1:4" x14ac:dyDescent="0.2">
      <c r="C7" s="54" t="s">
        <v>39</v>
      </c>
    </row>
    <row r="8" spans="1:4" x14ac:dyDescent="0.2">
      <c r="A8" s="210" t="s">
        <v>41</v>
      </c>
      <c r="B8" s="210"/>
      <c r="C8" s="210"/>
    </row>
    <row r="14" spans="1:4" x14ac:dyDescent="0.2">
      <c r="A14" s="66" t="s">
        <v>42</v>
      </c>
      <c r="B14" s="71" t="s">
        <v>37</v>
      </c>
      <c r="C14" s="67" t="s">
        <v>36</v>
      </c>
      <c r="D14" s="68" t="s">
        <v>35</v>
      </c>
    </row>
    <row r="15" spans="1:4" x14ac:dyDescent="0.2">
      <c r="B15" s="72"/>
      <c r="C15" s="55"/>
      <c r="D15" s="55">
        <f>B15*C15</f>
        <v>0</v>
      </c>
    </row>
    <row r="16" spans="1:4" x14ac:dyDescent="0.2">
      <c r="C16" s="55"/>
      <c r="D16" s="55">
        <f t="shared" ref="D16:D24" si="0">B16*C16</f>
        <v>0</v>
      </c>
    </row>
    <row r="17" spans="1:4" x14ac:dyDescent="0.2">
      <c r="B17" s="72"/>
      <c r="C17" s="55"/>
      <c r="D17" s="55">
        <f t="shared" si="0"/>
        <v>0</v>
      </c>
    </row>
    <row r="18" spans="1:4" x14ac:dyDescent="0.2">
      <c r="B18" s="72"/>
      <c r="C18" s="55"/>
      <c r="D18" s="55">
        <f t="shared" si="0"/>
        <v>0</v>
      </c>
    </row>
    <row r="19" spans="1:4" x14ac:dyDescent="0.2">
      <c r="B19" s="72"/>
      <c r="C19" s="55"/>
      <c r="D19" s="55">
        <f t="shared" si="0"/>
        <v>0</v>
      </c>
    </row>
    <row r="20" spans="1:4" x14ac:dyDescent="0.2">
      <c r="B20" s="72"/>
      <c r="C20" s="55"/>
      <c r="D20" s="55">
        <f t="shared" si="0"/>
        <v>0</v>
      </c>
    </row>
    <row r="21" spans="1:4" x14ac:dyDescent="0.2">
      <c r="B21" s="72"/>
      <c r="C21" s="55"/>
      <c r="D21" s="55">
        <f t="shared" si="0"/>
        <v>0</v>
      </c>
    </row>
    <row r="22" spans="1:4" x14ac:dyDescent="0.2">
      <c r="A22" s="58"/>
      <c r="B22" s="72"/>
      <c r="C22" s="55"/>
      <c r="D22" s="55">
        <f t="shared" si="0"/>
        <v>0</v>
      </c>
    </row>
    <row r="23" spans="1:4" x14ac:dyDescent="0.2">
      <c r="C23" s="55"/>
      <c r="D23" s="55">
        <f t="shared" si="0"/>
        <v>0</v>
      </c>
    </row>
    <row r="24" spans="1:4" x14ac:dyDescent="0.2">
      <c r="A24" s="59" t="s">
        <v>9</v>
      </c>
      <c r="C24" s="55"/>
      <c r="D24" s="55">
        <f t="shared" si="0"/>
        <v>0</v>
      </c>
    </row>
    <row r="25" spans="1:4" ht="15.75" thickBot="1" x14ac:dyDescent="0.25">
      <c r="C25" s="54" t="s">
        <v>44</v>
      </c>
      <c r="D25" s="69">
        <f>SUM(D15:D24)</f>
        <v>0</v>
      </c>
    </row>
  </sheetData>
  <mergeCells count="1">
    <mergeCell ref="A8:C8"/>
  </mergeCells>
  <pageMargins left="0.25" right="0.25" top="0.75" bottom="0.75" header="0.3" footer="0.3"/>
  <pageSetup paperSize="9" orientation="portrait" r:id="rId1"/>
  <headerFooter>
    <oddHeader xml:space="preserve">&amp;R
</oddHeader>
    <oddFooter>&amp;CVikerseterveien 1046, 3516 Hønefoss -  Org.nr 924 419 849
 Mobil. 95 33 62 55 - Info@zolas.no - www.zolas.no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workbookViewId="0">
      <selection activeCell="L19" sqref="L19"/>
    </sheetView>
  </sheetViews>
  <sheetFormatPr defaultColWidth="9.140625" defaultRowHeight="12.75" x14ac:dyDescent="0.2"/>
  <cols>
    <col min="1" max="1" width="9.140625" style="111"/>
    <col min="2" max="2" width="60.7109375" style="111" customWidth="1"/>
    <col min="3" max="16384" width="9.140625" style="111"/>
  </cols>
  <sheetData>
    <row r="4" spans="1:4" ht="14.25" x14ac:dyDescent="0.2">
      <c r="B4" s="60"/>
    </row>
    <row r="7" spans="1:4" ht="31.5" customHeight="1" x14ac:dyDescent="0.2">
      <c r="A7" s="112"/>
      <c r="B7" s="113" t="s">
        <v>79</v>
      </c>
      <c r="C7" s="114" t="s">
        <v>37</v>
      </c>
      <c r="D7" s="115"/>
    </row>
    <row r="8" spans="1:4" ht="31.5" customHeight="1" x14ac:dyDescent="0.2">
      <c r="A8" s="115"/>
      <c r="B8" s="112" t="s">
        <v>73</v>
      </c>
      <c r="C8" s="116">
        <v>3</v>
      </c>
      <c r="D8" s="115"/>
    </row>
    <row r="9" spans="1:4" ht="31.5" customHeight="1" x14ac:dyDescent="0.2">
      <c r="A9" s="115"/>
      <c r="B9" s="112" t="s">
        <v>69</v>
      </c>
      <c r="C9" s="116">
        <v>1</v>
      </c>
      <c r="D9" s="115"/>
    </row>
    <row r="10" spans="1:4" ht="31.5" customHeight="1" x14ac:dyDescent="0.2">
      <c r="A10" s="115"/>
      <c r="B10" s="112" t="s">
        <v>76</v>
      </c>
      <c r="C10" s="117">
        <v>1</v>
      </c>
      <c r="D10" s="115"/>
    </row>
    <row r="11" spans="1:4" ht="31.5" customHeight="1" x14ac:dyDescent="0.2">
      <c r="A11" s="115"/>
      <c r="B11" s="112" t="s">
        <v>72</v>
      </c>
      <c r="C11" s="116">
        <v>1</v>
      </c>
      <c r="D11" s="115"/>
    </row>
    <row r="12" spans="1:4" ht="31.5" customHeight="1" x14ac:dyDescent="0.2">
      <c r="A12" s="115"/>
      <c r="B12" s="112" t="s">
        <v>67</v>
      </c>
      <c r="C12" s="118">
        <v>1</v>
      </c>
      <c r="D12" s="115"/>
    </row>
    <row r="13" spans="1:4" ht="31.5" customHeight="1" x14ac:dyDescent="0.2">
      <c r="A13" s="115"/>
      <c r="B13" s="112" t="s">
        <v>68</v>
      </c>
      <c r="C13" s="116">
        <v>1</v>
      </c>
      <c r="D13" s="115"/>
    </row>
    <row r="14" spans="1:4" ht="31.5" customHeight="1" x14ac:dyDescent="0.2">
      <c r="A14" s="115"/>
      <c r="B14" s="115"/>
      <c r="C14" s="115"/>
      <c r="D14" s="115"/>
    </row>
    <row r="15" spans="1:4" ht="31.5" customHeight="1" x14ac:dyDescent="0.2"/>
    <row r="17" spans="2:9" ht="14.25" x14ac:dyDescent="0.2">
      <c r="B17" s="60"/>
    </row>
    <row r="19" spans="2:9" x14ac:dyDescent="0.2">
      <c r="I19" s="111">
        <v>53.53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view="pageLayout" topLeftCell="A4" zoomScaleNormal="100" workbookViewId="0">
      <selection activeCell="A14" sqref="A14"/>
    </sheetView>
  </sheetViews>
  <sheetFormatPr defaultColWidth="9.140625" defaultRowHeight="14.25" x14ac:dyDescent="0.2"/>
  <cols>
    <col min="1" max="1" width="46.85546875" style="1" customWidth="1"/>
    <col min="2" max="2" width="7.7109375" style="1" customWidth="1"/>
    <col min="3" max="3" width="11.5703125" style="4" customWidth="1"/>
    <col min="4" max="4" width="14.7109375" style="4" customWidth="1"/>
    <col min="5" max="16384" width="9.140625" style="1"/>
  </cols>
  <sheetData>
    <row r="1" spans="1:4" x14ac:dyDescent="0.2">
      <c r="B1" s="2"/>
    </row>
    <row r="2" spans="1:4" x14ac:dyDescent="0.2">
      <c r="B2" s="2"/>
    </row>
    <row r="3" spans="1:4" x14ac:dyDescent="0.2">
      <c r="B3" s="2"/>
    </row>
    <row r="4" spans="1:4" x14ac:dyDescent="0.2">
      <c r="B4" s="2"/>
      <c r="C4" s="3" t="s">
        <v>7</v>
      </c>
    </row>
    <row r="5" spans="1:4" x14ac:dyDescent="0.2">
      <c r="B5" s="2"/>
    </row>
    <row r="6" spans="1:4" x14ac:dyDescent="0.2">
      <c r="B6" s="2"/>
    </row>
    <row r="7" spans="1:4" x14ac:dyDescent="0.2">
      <c r="B7" s="2"/>
    </row>
    <row r="8" spans="1:4" x14ac:dyDescent="0.2">
      <c r="A8" s="184" t="s">
        <v>48</v>
      </c>
      <c r="B8" s="184"/>
      <c r="C8" s="184"/>
      <c r="D8" s="184"/>
    </row>
    <row r="9" spans="1:4" x14ac:dyDescent="0.2">
      <c r="C9" s="1"/>
      <c r="D9" s="1"/>
    </row>
    <row r="10" spans="1:4" ht="117.75" customHeight="1" x14ac:dyDescent="0.2">
      <c r="A10" s="182" t="s">
        <v>49</v>
      </c>
      <c r="B10" s="182"/>
      <c r="C10" s="182"/>
      <c r="D10" s="182"/>
    </row>
    <row r="11" spans="1:4" x14ac:dyDescent="0.2">
      <c r="A11" s="24"/>
      <c r="B11" s="5"/>
      <c r="C11" s="6"/>
      <c r="D11" s="6"/>
    </row>
    <row r="12" spans="1:4" x14ac:dyDescent="0.2">
      <c r="B12" s="2"/>
    </row>
    <row r="13" spans="1:4" x14ac:dyDescent="0.2">
      <c r="A13" s="60" t="s">
        <v>42</v>
      </c>
      <c r="B13" s="64" t="s">
        <v>38</v>
      </c>
      <c r="C13" s="65" t="s">
        <v>10</v>
      </c>
      <c r="D13" s="65" t="s">
        <v>35</v>
      </c>
    </row>
    <row r="14" spans="1:4" x14ac:dyDescent="0.2">
      <c r="B14" s="19"/>
      <c r="C14" s="3"/>
      <c r="D14" s="8">
        <f>B14*C14</f>
        <v>0</v>
      </c>
    </row>
    <row r="15" spans="1:4" x14ac:dyDescent="0.2">
      <c r="C15" s="3"/>
      <c r="D15" s="8">
        <f t="shared" ref="D15:D25" si="0">B15*C15</f>
        <v>0</v>
      </c>
    </row>
    <row r="16" spans="1:4" x14ac:dyDescent="0.2">
      <c r="C16" s="3"/>
      <c r="D16" s="8">
        <f t="shared" si="0"/>
        <v>0</v>
      </c>
    </row>
    <row r="17" spans="1:4" x14ac:dyDescent="0.2">
      <c r="C17" s="3"/>
      <c r="D17" s="8">
        <f t="shared" si="0"/>
        <v>0</v>
      </c>
    </row>
    <row r="18" spans="1:4" x14ac:dyDescent="0.2">
      <c r="C18" s="3"/>
      <c r="D18" s="8">
        <f t="shared" si="0"/>
        <v>0</v>
      </c>
    </row>
    <row r="19" spans="1:4" x14ac:dyDescent="0.2">
      <c r="C19" s="3"/>
      <c r="D19" s="8">
        <f t="shared" si="0"/>
        <v>0</v>
      </c>
    </row>
    <row r="20" spans="1:4" x14ac:dyDescent="0.2">
      <c r="C20" s="3"/>
      <c r="D20" s="8">
        <f t="shared" si="0"/>
        <v>0</v>
      </c>
    </row>
    <row r="21" spans="1:4" x14ac:dyDescent="0.2">
      <c r="C21" s="3"/>
      <c r="D21" s="8">
        <f t="shared" si="0"/>
        <v>0</v>
      </c>
    </row>
    <row r="22" spans="1:4" x14ac:dyDescent="0.2">
      <c r="C22" s="3"/>
      <c r="D22" s="8">
        <f t="shared" si="0"/>
        <v>0</v>
      </c>
    </row>
    <row r="23" spans="1:4" x14ac:dyDescent="0.2">
      <c r="C23" s="3"/>
      <c r="D23" s="8">
        <f t="shared" si="0"/>
        <v>0</v>
      </c>
    </row>
    <row r="24" spans="1:4" x14ac:dyDescent="0.2">
      <c r="A24" s="1" t="s">
        <v>2</v>
      </c>
      <c r="B24" s="29"/>
      <c r="C24" s="3"/>
      <c r="D24" s="8">
        <f t="shared" si="0"/>
        <v>0</v>
      </c>
    </row>
    <row r="25" spans="1:4" x14ac:dyDescent="0.2">
      <c r="A25" s="25"/>
      <c r="B25" s="2"/>
      <c r="C25" s="3"/>
      <c r="D25" s="8">
        <f t="shared" si="0"/>
        <v>0</v>
      </c>
    </row>
    <row r="26" spans="1:4" x14ac:dyDescent="0.2">
      <c r="A26" s="25"/>
      <c r="B26" s="2"/>
      <c r="C26" s="7" t="s">
        <v>8</v>
      </c>
      <c r="D26" s="7">
        <f>SUM(D14:D25)</f>
        <v>0</v>
      </c>
    </row>
    <row r="27" spans="1:4" x14ac:dyDescent="0.2">
      <c r="A27" s="25"/>
      <c r="B27" s="2"/>
      <c r="C27" s="4" t="s">
        <v>9</v>
      </c>
    </row>
    <row r="28" spans="1:4" x14ac:dyDescent="0.2">
      <c r="A28" s="25"/>
      <c r="B28" s="2"/>
      <c r="C28" s="7"/>
      <c r="D28" s="7">
        <f>SUM(D26:D27)</f>
        <v>0</v>
      </c>
    </row>
    <row r="29" spans="1:4" x14ac:dyDescent="0.2">
      <c r="A29" s="25"/>
      <c r="B29" s="2"/>
    </row>
    <row r="30" spans="1:4" x14ac:dyDescent="0.2">
      <c r="A30" s="25"/>
      <c r="B30" s="2" t="s">
        <v>11</v>
      </c>
      <c r="D30" s="4">
        <f>D28/5</f>
        <v>0</v>
      </c>
    </row>
  </sheetData>
  <mergeCells count="2">
    <mergeCell ref="A8:D8"/>
    <mergeCell ref="A10:D10"/>
  </mergeCells>
  <pageMargins left="0.7" right="0.7" top="0.75" bottom="0.75" header="0.3" footer="0.3"/>
  <pageSetup paperSize="9" orientation="portrait" r:id="rId1"/>
  <headerFooter>
    <oddFooter xml:space="preserve">&amp;CVikerseterveien 1046, 3516 Hønefoss -  Org.nr 924 419 849
Mobil. 95 33 62 55 - Info@zolas.no - www.zolas.no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Kalkulasjon</vt:lpstr>
      <vt:lpstr>Kraftpakke</vt:lpstr>
      <vt:lpstr>Gasskjele</vt:lpstr>
      <vt:lpstr>Prisliste messer</vt:lpstr>
      <vt:lpstr>Fakturaspec.</vt:lpstr>
      <vt:lpstr>Eksempel</vt:lpstr>
      <vt:lpstr>Overvåkning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Brorsen</dc:creator>
  <cp:lastModifiedBy>Tone Brorsen</cp:lastModifiedBy>
  <cp:lastPrinted>2024-03-18T13:37:14Z</cp:lastPrinted>
  <dcterms:created xsi:type="dcterms:W3CDTF">2015-02-07T09:10:52Z</dcterms:created>
  <dcterms:modified xsi:type="dcterms:W3CDTF">2024-04-22T13:27:22Z</dcterms:modified>
</cp:coreProperties>
</file>